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G:\Dept\Rates\Deferrals\Deferrals 2022\WA\June 2022\"/>
    </mc:Choice>
  </mc:AlternateContent>
  <xr:revisionPtr revIDLastSave="0" documentId="13_ncr:1_{93AC6408-E032-42C0-8E49-7C0F0058AD1A}" xr6:coauthVersionLast="47" xr6:coauthVersionMax="47" xr10:uidLastSave="{00000000-0000-0000-0000-000000000000}"/>
  <bookViews>
    <workbookView xWindow="-120" yWindow="-120" windowWidth="29040" windowHeight="15840" tabRatio="913" activeTab="3" xr2:uid="{00000000-000D-0000-FFFF-FFFF00000000}"/>
  </bookViews>
  <sheets>
    <sheet name="DG 1910.01253" sheetId="230" r:id="rId1"/>
    <sheet name="DG 1910.01254" sheetId="231" r:id="rId2"/>
    <sheet name="DG 1910.01286" sheetId="290" r:id="rId3"/>
    <sheet name="WA Deferrals" sheetId="300" r:id="rId4"/>
    <sheet name="RA 1860.20479" sheetId="283" r:id="rId5"/>
    <sheet name="RA 1823.47020430" sheetId="200" r:id="rId6"/>
    <sheet name="RA 1823.47020431" sheetId="201" r:id="rId7"/>
    <sheet name="RA 1823.47020444" sheetId="164" r:id="rId8"/>
    <sheet name="RA 1823.47020449" sheetId="224" r:id="rId9"/>
    <sheet name="RA 1862.20477" sheetId="282" r:id="rId10"/>
    <sheet name="RA 1860.20460-exp only" sheetId="250" r:id="rId11"/>
    <sheet name="RA 1823.47020478" sheetId="284" r:id="rId12"/>
    <sheet name="RA 1862.20480" sheetId="286" r:id="rId13"/>
    <sheet name="RA 1860.20484" sheetId="294" r:id="rId14"/>
    <sheet name="RA 1860.20485" sheetId="295" r:id="rId15"/>
    <sheet name="RA 1860.20486" sheetId="299" r:id="rId16"/>
    <sheet name="FERC Interest Rates" sheetId="132" r:id="rId17"/>
    <sheet name="Therm Sales" sheetId="3" r:id="rId18"/>
    <sheet name="Decoupling-Therm Sales" sheetId="285" r:id="rId19"/>
    <sheet name="WA Rates" sheetId="301" r:id="rId20"/>
    <sheet name="Core Cost Incurred" sheetId="302" r:id="rId21"/>
  </sheets>
  <externalReferences>
    <externalReference r:id="rId22"/>
    <externalReference r:id="rId23"/>
  </externalReferences>
  <definedNames>
    <definedName name="_Regression_Int" localSheetId="16" hidden="1">1</definedName>
    <definedName name="FERCINT13" localSheetId="2">'FERC Interest Rates'!$A$10:$C$21</definedName>
    <definedName name="FERCINT13" localSheetId="13">'[1]FERC Interest Rates'!$A$10:$C$21</definedName>
    <definedName name="FERCINT13" localSheetId="14">'[1]FERC Interest Rates'!$A$10:$C$21</definedName>
    <definedName name="FERCINT13" localSheetId="15">'[1]FERC Interest Rates'!$A$10:$C$21</definedName>
    <definedName name="FERCINT13">'FERC Interest Rates'!$A$10:$C$21</definedName>
    <definedName name="FERCINT14" localSheetId="2">'FERC Interest Rates'!$A$22:$C$33</definedName>
    <definedName name="FERCINT14" localSheetId="13">'[1]FERC Interest Rates'!$A$22:$C$33</definedName>
    <definedName name="FERCINT14" localSheetId="14">'[1]FERC Interest Rates'!$A$22:$C$33</definedName>
    <definedName name="FERCINT14" localSheetId="15">'[1]FERC Interest Rates'!$A$22:$C$33</definedName>
    <definedName name="FERCINT14">'FERC Interest Rates'!$A$22:$C$33</definedName>
    <definedName name="FERCINT15" localSheetId="2">'FERC Interest Rates'!$A$34:$C$45</definedName>
    <definedName name="FERCINT15" localSheetId="13">'[1]FERC Interest Rates'!$A$34:$C$45</definedName>
    <definedName name="FERCINT15" localSheetId="14">'[1]FERC Interest Rates'!$A$34:$C$45</definedName>
    <definedName name="FERCINT15" localSheetId="15">'[1]FERC Interest Rates'!$A$34:$C$45</definedName>
    <definedName name="FERCINT15">'FERC Interest Rates'!$A$34:$C$45</definedName>
    <definedName name="FERCINT16" localSheetId="2">'FERC Interest Rates'!$A$46:$C$57</definedName>
    <definedName name="FERCINT16" localSheetId="13">'[1]FERC Interest Rates'!$A$46:$C$57</definedName>
    <definedName name="FERCINT16" localSheetId="14">'[1]FERC Interest Rates'!$A$46:$C$57</definedName>
    <definedName name="FERCINT16" localSheetId="15">'[1]FERC Interest Rates'!$A$46:$C$57</definedName>
    <definedName name="FERCINT16">'FERC Interest Rates'!$A$46:$C$57</definedName>
    <definedName name="FERCINT17" localSheetId="2">'FERC Interest Rates'!$A$58:$C$69</definedName>
    <definedName name="FERCINT17" localSheetId="13">'[1]FERC Interest Rates'!$A$58:$C$69</definedName>
    <definedName name="FERCINT17" localSheetId="14">'[1]FERC Interest Rates'!$A$58:$C$69</definedName>
    <definedName name="FERCINT17" localSheetId="15">'[1]FERC Interest Rates'!$A$58:$C$69</definedName>
    <definedName name="FERCINT17">'FERC Interest Rates'!$A$58:$C$69</definedName>
    <definedName name="FERCINT18" localSheetId="2">'FERC Interest Rates'!$A$70:$C$81</definedName>
    <definedName name="FERCINT18" localSheetId="13">'[1]FERC Interest Rates'!$A$70:$C$81</definedName>
    <definedName name="FERCINT18" localSheetId="14">'[1]FERC Interest Rates'!$A$70:$C$81</definedName>
    <definedName name="FERCINT18" localSheetId="15">'[1]FERC Interest Rates'!$A$70:$C$81</definedName>
    <definedName name="FERCINT18">'FERC Interest Rates'!$A$70:$C$81</definedName>
    <definedName name="FERCINT19" localSheetId="2">'FERC Interest Rates'!$A$82:$C$93</definedName>
    <definedName name="FERCINT19" localSheetId="13">'[1]FERC Interest Rates'!$A$82:$C$93</definedName>
    <definedName name="FERCINT19" localSheetId="14">'[1]FERC Interest Rates'!$A$82:$C$93</definedName>
    <definedName name="FERCINT19" localSheetId="15">'[1]FERC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_xlnm.Print_Area" localSheetId="20">'Core Cost Incurred'!$A$1:$Z$52</definedName>
    <definedName name="_xlnm.Print_Area" localSheetId="18">'Decoupling-Therm Sales'!$A$1:$M$330</definedName>
    <definedName name="_xlnm.Print_Area" localSheetId="0">'DG 1910.01253'!$A$1:$H$125</definedName>
    <definedName name="_xlnm.Print_Area" localSheetId="1">'DG 1910.01254'!$A$1:$H$123</definedName>
    <definedName name="_xlnm.Print_Area" localSheetId="2">'DG 1910.01286'!$A$1:$H$69</definedName>
    <definedName name="_xlnm.Print_Area" localSheetId="16">'FERC Interest Rates'!$A$1:$D$129</definedName>
    <definedName name="_xlnm.Print_Area" localSheetId="5">'RA 1823.47020430'!$A$1:$H$123</definedName>
    <definedName name="_xlnm.Print_Area" localSheetId="6">'RA 1823.47020431'!$A$1:$H$123</definedName>
    <definedName name="_xlnm.Print_Area" localSheetId="7">'RA 1823.47020444'!$A$1:$H$123</definedName>
    <definedName name="_xlnm.Print_Area" localSheetId="8">'RA 1823.47020449'!$A$1:$H$123</definedName>
    <definedName name="_xlnm.Print_Area" localSheetId="11">'RA 1823.47020478'!$A$1:$H$90</definedName>
    <definedName name="_xlnm.Print_Area" localSheetId="10">'RA 1860.20460-exp only'!$A$1:$H$116</definedName>
    <definedName name="_xlnm.Print_Area" localSheetId="4">'RA 1860.20479'!$A$1:$H$83</definedName>
    <definedName name="_xlnm.Print_Area" localSheetId="13">'RA 1860.20484'!$A$1:$H$41</definedName>
    <definedName name="_xlnm.Print_Area" localSheetId="14">'RA 1860.20485'!$A$1:$H$42</definedName>
    <definedName name="_xlnm.Print_Area" localSheetId="15">'RA 1860.20486'!$A$1:$H$25</definedName>
    <definedName name="_xlnm.Print_Area" localSheetId="9">'RA 1862.20477'!$A$1:$H$86</definedName>
    <definedName name="_xlnm.Print_Area" localSheetId="12">'RA 1862.20480'!$A$1:$H$73</definedName>
    <definedName name="_xlnm.Print_Area" localSheetId="17">'Therm Sales'!$A$1:$R$108</definedName>
    <definedName name="_xlnm.Print_Area" localSheetId="3">'WA Deferrals'!$B$1:$G$22</definedName>
    <definedName name="_xlnm.Print_Area" localSheetId="19">'WA Rates'!$B$1:$N$45</definedName>
    <definedName name="_xlnm.Print_Titles" localSheetId="20">'Core Cost Incurred'!$B:$F</definedName>
    <definedName name="_xlnm.Print_Titles" localSheetId="19">'WA Rates'!$1:$8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290" l="1"/>
  <c r="S31" i="290"/>
  <c r="M32" i="290"/>
  <c r="N32" i="290"/>
  <c r="N33" i="290" s="1"/>
  <c r="O32" i="290"/>
  <c r="O33" i="290" s="1"/>
  <c r="K33" i="290"/>
  <c r="L33" i="290"/>
  <c r="M33" i="290"/>
  <c r="P33" i="290"/>
  <c r="Q33" i="290"/>
  <c r="R33" i="290"/>
  <c r="M44" i="290"/>
  <c r="N44" i="290"/>
  <c r="N46" i="290" s="1"/>
  <c r="O44" i="290"/>
  <c r="O46" i="290" s="1"/>
  <c r="Q44" i="290"/>
  <c r="Q46" i="290" s="1"/>
  <c r="M45" i="290"/>
  <c r="S45" i="290" s="1"/>
  <c r="N45" i="290"/>
  <c r="O45" i="290"/>
  <c r="K46" i="290"/>
  <c r="L46" i="290"/>
  <c r="P46" i="290"/>
  <c r="R46" i="290"/>
  <c r="M60" i="290"/>
  <c r="O60" i="290"/>
  <c r="Q60" i="290"/>
  <c r="Q62" i="290" s="1"/>
  <c r="M61" i="290"/>
  <c r="O61" i="290"/>
  <c r="O62" i="290" s="1"/>
  <c r="K62" i="290"/>
  <c r="L62" i="290"/>
  <c r="N62" i="290"/>
  <c r="P62" i="290"/>
  <c r="R62" i="290"/>
  <c r="M62" i="290" l="1"/>
  <c r="S60" i="290"/>
  <c r="S44" i="290"/>
  <c r="S46" i="290" s="1"/>
  <c r="S61" i="290"/>
  <c r="S62" i="290" s="1"/>
  <c r="M46" i="290"/>
  <c r="S32" i="290"/>
  <c r="S33" i="290" s="1"/>
  <c r="M52" i="302" l="1"/>
  <c r="AE46" i="302"/>
  <c r="AC44" i="302"/>
  <c r="AB44" i="302"/>
  <c r="Z44" i="302"/>
  <c r="W44" i="302"/>
  <c r="T44" i="302"/>
  <c r="Q44" i="302"/>
  <c r="AC43" i="302"/>
  <c r="AC45" i="302" s="1"/>
  <c r="AB43" i="302"/>
  <c r="AB45" i="302" s="1"/>
  <c r="Z43" i="302"/>
  <c r="W43" i="302"/>
  <c r="T43" i="302"/>
  <c r="Q43" i="302"/>
  <c r="Q45" i="302" s="1"/>
  <c r="Q48" i="302" s="1"/>
  <c r="AC39" i="302"/>
  <c r="AB39" i="302"/>
  <c r="Z39" i="302"/>
  <c r="Z41" i="302" s="1"/>
  <c r="W39" i="302"/>
  <c r="W41" i="302" s="1"/>
  <c r="T39" i="302"/>
  <c r="Q39" i="302"/>
  <c r="N38" i="302"/>
  <c r="K38" i="302"/>
  <c r="N37" i="302"/>
  <c r="K37" i="302"/>
  <c r="H37" i="302" s="1"/>
  <c r="N36" i="302"/>
  <c r="K36" i="302"/>
  <c r="H36" i="302"/>
  <c r="N35" i="302"/>
  <c r="H35" i="302" s="1"/>
  <c r="K35" i="302"/>
  <c r="N34" i="302"/>
  <c r="K34" i="302"/>
  <c r="N33" i="302"/>
  <c r="K33" i="302"/>
  <c r="H33" i="302" s="1"/>
  <c r="N32" i="302"/>
  <c r="K32" i="302"/>
  <c r="H32" i="302" s="1"/>
  <c r="N31" i="302"/>
  <c r="K31" i="302"/>
  <c r="H31" i="302" s="1"/>
  <c r="N30" i="302"/>
  <c r="H30" i="302" s="1"/>
  <c r="K30" i="302"/>
  <c r="N29" i="302"/>
  <c r="K29" i="302"/>
  <c r="H29" i="302" s="1"/>
  <c r="N28" i="302"/>
  <c r="H28" i="302" s="1"/>
  <c r="K28" i="302"/>
  <c r="N27" i="302"/>
  <c r="K27" i="302"/>
  <c r="H27" i="302" s="1"/>
  <c r="N26" i="302"/>
  <c r="K26" i="302"/>
  <c r="N25" i="302"/>
  <c r="K25" i="302"/>
  <c r="N24" i="302"/>
  <c r="K24" i="302"/>
  <c r="H24" i="302"/>
  <c r="AC22" i="302"/>
  <c r="AB22" i="302"/>
  <c r="T22" i="302"/>
  <c r="Q22" i="302"/>
  <c r="N21" i="302"/>
  <c r="K21" i="302"/>
  <c r="N20" i="302"/>
  <c r="K20" i="302"/>
  <c r="H20" i="302" s="1"/>
  <c r="N19" i="302"/>
  <c r="K19" i="302"/>
  <c r="K22" i="302" s="1"/>
  <c r="H19" i="302"/>
  <c r="N18" i="302"/>
  <c r="K18" i="302"/>
  <c r="N17" i="302"/>
  <c r="K17" i="302"/>
  <c r="AC15" i="302"/>
  <c r="AB15" i="302"/>
  <c r="Y15" i="302"/>
  <c r="Y41" i="302" s="1"/>
  <c r="V15" i="302"/>
  <c r="V41" i="302" s="1"/>
  <c r="T15" i="302"/>
  <c r="S15" i="302"/>
  <c r="S41" i="302" s="1"/>
  <c r="Q15" i="302"/>
  <c r="P15" i="302"/>
  <c r="P41" i="302" s="1"/>
  <c r="N14" i="302"/>
  <c r="M14" i="302"/>
  <c r="K14" i="302"/>
  <c r="H14" i="302" s="1"/>
  <c r="J14" i="302"/>
  <c r="G14" i="302" s="1"/>
  <c r="N13" i="302"/>
  <c r="M13" i="302"/>
  <c r="K13" i="302"/>
  <c r="H13" i="302" s="1"/>
  <c r="J13" i="302"/>
  <c r="G13" i="302"/>
  <c r="N12" i="302"/>
  <c r="H12" i="302" s="1"/>
  <c r="M12" i="302"/>
  <c r="K12" i="302"/>
  <c r="J12" i="302"/>
  <c r="N11" i="302"/>
  <c r="M11" i="302"/>
  <c r="K11" i="302"/>
  <c r="J11" i="302"/>
  <c r="N10" i="302"/>
  <c r="M10" i="302"/>
  <c r="K10" i="302"/>
  <c r="J10" i="302"/>
  <c r="N9" i="302"/>
  <c r="K9" i="302"/>
  <c r="N8" i="302"/>
  <c r="M8" i="302"/>
  <c r="G8" i="302" s="1"/>
  <c r="K8" i="302"/>
  <c r="K43" i="302" s="1"/>
  <c r="J8" i="302"/>
  <c r="N7" i="302"/>
  <c r="K7" i="302"/>
  <c r="N6" i="302"/>
  <c r="N44" i="302" s="1"/>
  <c r="K6" i="302"/>
  <c r="V3" i="302"/>
  <c r="V1" i="302"/>
  <c r="I40" i="301"/>
  <c r="L40" i="301" s="1"/>
  <c r="H40" i="301"/>
  <c r="K40" i="301" s="1"/>
  <c r="I39" i="301"/>
  <c r="L39" i="301" s="1"/>
  <c r="H39" i="301"/>
  <c r="K39" i="301" s="1"/>
  <c r="I38" i="301"/>
  <c r="L38" i="301" s="1"/>
  <c r="H38" i="301"/>
  <c r="K38" i="301" s="1"/>
  <c r="H36" i="301"/>
  <c r="K36" i="301" s="1"/>
  <c r="H35" i="301"/>
  <c r="K35" i="301" s="1"/>
  <c r="H34" i="301"/>
  <c r="G34" i="301"/>
  <c r="I32" i="301"/>
  <c r="H32" i="301"/>
  <c r="K32" i="301" s="1"/>
  <c r="G32" i="301"/>
  <c r="I31" i="301"/>
  <c r="L31" i="301" s="1"/>
  <c r="H31" i="301"/>
  <c r="K31" i="301" s="1"/>
  <c r="H30" i="301"/>
  <c r="K30" i="301" s="1"/>
  <c r="G30" i="301"/>
  <c r="I28" i="301"/>
  <c r="H28" i="301"/>
  <c r="G28" i="301"/>
  <c r="L28" i="301" s="1"/>
  <c r="I27" i="301"/>
  <c r="L27" i="301" s="1"/>
  <c r="H27" i="301"/>
  <c r="K27" i="301" s="1"/>
  <c r="I26" i="301"/>
  <c r="H26" i="301"/>
  <c r="K26" i="301" s="1"/>
  <c r="G26" i="301"/>
  <c r="I24" i="301"/>
  <c r="H24" i="301"/>
  <c r="G24" i="301"/>
  <c r="U23" i="301"/>
  <c r="I23" i="301"/>
  <c r="L23" i="301" s="1"/>
  <c r="H23" i="301"/>
  <c r="K23" i="301" s="1"/>
  <c r="I22" i="301"/>
  <c r="H22" i="301"/>
  <c r="K22" i="301" s="1"/>
  <c r="G22" i="301"/>
  <c r="I20" i="301"/>
  <c r="I34" i="301" s="1"/>
  <c r="H20" i="301"/>
  <c r="K20" i="301" s="1"/>
  <c r="G20" i="301"/>
  <c r="I19" i="301"/>
  <c r="H19" i="301"/>
  <c r="G19" i="301"/>
  <c r="H18" i="301"/>
  <c r="G18" i="301"/>
  <c r="L18" i="301" s="1"/>
  <c r="I16" i="301"/>
  <c r="H16" i="301"/>
  <c r="G16" i="301"/>
  <c r="L16" i="301" s="1"/>
  <c r="U15" i="301"/>
  <c r="R15" i="301"/>
  <c r="I15" i="301"/>
  <c r="L15" i="301" s="1"/>
  <c r="H15" i="301"/>
  <c r="K15" i="301" s="1"/>
  <c r="N15" i="301" s="1"/>
  <c r="H14" i="301"/>
  <c r="G14" i="301"/>
  <c r="I12" i="301"/>
  <c r="H12" i="301"/>
  <c r="G12" i="301"/>
  <c r="I11" i="301"/>
  <c r="L11" i="301" s="1"/>
  <c r="H11" i="301"/>
  <c r="K11" i="301" s="1"/>
  <c r="J10" i="301"/>
  <c r="J34" i="301" s="1"/>
  <c r="G10" i="301"/>
  <c r="L10" i="301" s="1"/>
  <c r="U9" i="301"/>
  <c r="T9" i="301"/>
  <c r="R9" i="301"/>
  <c r="Q9" i="301"/>
  <c r="M9" i="301"/>
  <c r="L9" i="301"/>
  <c r="K9" i="301"/>
  <c r="I8" i="301"/>
  <c r="R7" i="301"/>
  <c r="F3" i="301"/>
  <c r="G11" i="300"/>
  <c r="C2" i="300"/>
  <c r="J12" i="301" l="1"/>
  <c r="K34" i="301"/>
  <c r="M10" i="301"/>
  <c r="N11" i="301"/>
  <c r="L34" i="301"/>
  <c r="L22" i="301"/>
  <c r="K24" i="301"/>
  <c r="L19" i="301"/>
  <c r="L26" i="301"/>
  <c r="K28" i="301"/>
  <c r="L12" i="301"/>
  <c r="L32" i="301"/>
  <c r="Q41" i="302"/>
  <c r="T41" i="302"/>
  <c r="Q50" i="302"/>
  <c r="Q52" i="302" s="1"/>
  <c r="N43" i="302"/>
  <c r="N45" i="302" s="1"/>
  <c r="H26" i="302"/>
  <c r="T45" i="302"/>
  <c r="T48" i="302" s="1"/>
  <c r="K15" i="302"/>
  <c r="H9" i="302"/>
  <c r="M15" i="302"/>
  <c r="M41" i="302" s="1"/>
  <c r="AH6" i="302" s="1"/>
  <c r="W45" i="302"/>
  <c r="Q49" i="302" s="1"/>
  <c r="H11" i="302"/>
  <c r="N15" i="302"/>
  <c r="AB41" i="302"/>
  <c r="Z45" i="302"/>
  <c r="AE45" i="302" s="1"/>
  <c r="AE47" i="302" s="1"/>
  <c r="J15" i="302"/>
  <c r="J41" i="302" s="1"/>
  <c r="AG6" i="302" s="1"/>
  <c r="K39" i="302"/>
  <c r="K41" i="302" s="1"/>
  <c r="H34" i="302"/>
  <c r="AC41" i="302"/>
  <c r="H7" i="302"/>
  <c r="H10" i="302"/>
  <c r="G12" i="302"/>
  <c r="N22" i="302"/>
  <c r="N39" i="302"/>
  <c r="N41" i="302" s="1"/>
  <c r="H18" i="302"/>
  <c r="H21" i="302"/>
  <c r="H25" i="302"/>
  <c r="H39" i="302" s="1"/>
  <c r="H38" i="302"/>
  <c r="J20" i="301"/>
  <c r="M20" i="301" s="1"/>
  <c r="J24" i="301"/>
  <c r="M24" i="301" s="1"/>
  <c r="J38" i="301"/>
  <c r="M38" i="301" s="1"/>
  <c r="N38" i="301" s="1"/>
  <c r="K14" i="301"/>
  <c r="K16" i="301"/>
  <c r="J23" i="301"/>
  <c r="M23" i="301" s="1"/>
  <c r="N23" i="301" s="1"/>
  <c r="J27" i="301"/>
  <c r="M27" i="301" s="1"/>
  <c r="N27" i="301" s="1"/>
  <c r="J11" i="301"/>
  <c r="J14" i="301"/>
  <c r="M14" i="301" s="1"/>
  <c r="J30" i="301"/>
  <c r="M30" i="301" s="1"/>
  <c r="J35" i="301"/>
  <c r="M35" i="301" s="1"/>
  <c r="J16" i="301"/>
  <c r="J19" i="301"/>
  <c r="M19" i="301" s="1"/>
  <c r="K19" i="301"/>
  <c r="L30" i="301"/>
  <c r="K10" i="301"/>
  <c r="N10" i="301" s="1"/>
  <c r="J15" i="301"/>
  <c r="K18" i="301"/>
  <c r="L20" i="301"/>
  <c r="J22" i="301"/>
  <c r="M22" i="301" s="1"/>
  <c r="L24" i="301"/>
  <c r="J26" i="301"/>
  <c r="M26" i="301" s="1"/>
  <c r="N26" i="301" s="1"/>
  <c r="J18" i="301"/>
  <c r="M18" i="301" s="1"/>
  <c r="J28" i="301"/>
  <c r="M28" i="301" s="1"/>
  <c r="N28" i="301" s="1"/>
  <c r="M34" i="301"/>
  <c r="N34" i="301" s="1"/>
  <c r="N16" i="301"/>
  <c r="N22" i="301"/>
  <c r="D8" i="300"/>
  <c r="G8" i="300" s="1"/>
  <c r="G41" i="301"/>
  <c r="G43" i="301" s="1"/>
  <c r="N9" i="301"/>
  <c r="H17" i="302"/>
  <c r="J39" i="301"/>
  <c r="M39" i="301" s="1"/>
  <c r="N39" i="301" s="1"/>
  <c r="O39" i="301" s="1"/>
  <c r="J40" i="301"/>
  <c r="M40" i="301" s="1"/>
  <c r="N40" i="301" s="1"/>
  <c r="G11" i="302"/>
  <c r="L14" i="301"/>
  <c r="I35" i="301"/>
  <c r="L35" i="301" s="1"/>
  <c r="N35" i="301" s="1"/>
  <c r="J36" i="301"/>
  <c r="M36" i="301" s="1"/>
  <c r="H6" i="302"/>
  <c r="I36" i="301"/>
  <c r="L36" i="301" s="1"/>
  <c r="K12" i="301"/>
  <c r="N12" i="301" s="1"/>
  <c r="H8" i="302"/>
  <c r="G10" i="302"/>
  <c r="G15" i="302" s="1"/>
  <c r="G41" i="302" s="1"/>
  <c r="K44" i="302"/>
  <c r="E8" i="300" s="1"/>
  <c r="J31" i="301"/>
  <c r="M31" i="301" s="1"/>
  <c r="N31" i="301" s="1"/>
  <c r="J32" i="301"/>
  <c r="M32" i="301" s="1"/>
  <c r="N32" i="301" s="1"/>
  <c r="N19" i="301" l="1"/>
  <c r="N24" i="301"/>
  <c r="N20" i="301"/>
  <c r="N30" i="301"/>
  <c r="T49" i="302"/>
  <c r="T50" i="302" s="1"/>
  <c r="T52" i="302" s="1"/>
  <c r="H22" i="302"/>
  <c r="H15" i="302"/>
  <c r="N36" i="301"/>
  <c r="K41" i="301"/>
  <c r="D7" i="300" s="1"/>
  <c r="N18" i="301"/>
  <c r="N14" i="301"/>
  <c r="L41" i="301"/>
  <c r="E7" i="300" s="1"/>
  <c r="M41" i="301"/>
  <c r="F7" i="300" s="1"/>
  <c r="K45" i="302"/>
  <c r="M48" i="302" s="1"/>
  <c r="H41" i="302"/>
  <c r="K43" i="301"/>
  <c r="N41" i="301" l="1"/>
  <c r="G7" i="300"/>
  <c r="E9" i="300"/>
  <c r="L43" i="301"/>
  <c r="M43" i="301"/>
  <c r="Q42" i="301"/>
  <c r="N43" i="301"/>
  <c r="E12" i="300" l="1"/>
  <c r="E18" i="300"/>
  <c r="G9" i="300"/>
  <c r="G12" i="300" s="1"/>
  <c r="F9" i="300"/>
  <c r="F12" i="300"/>
  <c r="F18" i="300" s="1"/>
  <c r="D9" i="300"/>
  <c r="D12" i="300"/>
  <c r="D18" i="300" s="1"/>
  <c r="G18" i="300" s="1"/>
  <c r="D123" i="231" l="1"/>
  <c r="D85" i="282" l="1"/>
  <c r="H64" i="285" l="1"/>
  <c r="M108" i="3"/>
  <c r="J108" i="3"/>
  <c r="G108" i="3"/>
  <c r="C108" i="3"/>
  <c r="D116" i="250" l="1"/>
  <c r="R108" i="3"/>
  <c r="Q108" i="3"/>
  <c r="D121" i="231" l="1"/>
  <c r="D122" i="231"/>
  <c r="G124" i="230"/>
  <c r="D120" i="231"/>
  <c r="D119" i="231"/>
  <c r="D122" i="230"/>
  <c r="D121" i="230"/>
  <c r="D120" i="230"/>
  <c r="H63" i="285"/>
  <c r="R107" i="3"/>
  <c r="Q107" i="3"/>
  <c r="M107" i="3"/>
  <c r="J107" i="3"/>
  <c r="G107" i="3"/>
  <c r="C107" i="3"/>
  <c r="D115" i="250"/>
  <c r="H62" i="285" l="1"/>
  <c r="M106" i="3"/>
  <c r="R106" i="3"/>
  <c r="Q106" i="3"/>
  <c r="J106" i="3" l="1"/>
  <c r="G106" i="3"/>
  <c r="C106" i="3"/>
  <c r="D114" i="250" l="1"/>
  <c r="G121" i="230" l="1"/>
  <c r="D113" i="250" l="1"/>
  <c r="D117" i="231" l="1"/>
  <c r="H61" i="285" l="1"/>
  <c r="R105" i="3" l="1"/>
  <c r="Q105" i="3"/>
  <c r="M105" i="3"/>
  <c r="J105" i="3"/>
  <c r="G105" i="3"/>
  <c r="C105" i="3"/>
  <c r="D116" i="231" l="1"/>
  <c r="D114" i="231"/>
  <c r="D112" i="231"/>
  <c r="D111" i="231"/>
  <c r="D110" i="231"/>
  <c r="D109" i="231"/>
  <c r="D108" i="231"/>
  <c r="D107" i="231"/>
  <c r="D106" i="231"/>
  <c r="D105" i="231"/>
  <c r="D119" i="164"/>
  <c r="D112" i="250"/>
  <c r="G120" i="230"/>
  <c r="H60" i="285"/>
  <c r="R104" i="3" l="1"/>
  <c r="Q104" i="3"/>
  <c r="M104" i="3"/>
  <c r="J104" i="3"/>
  <c r="G104" i="3"/>
  <c r="C104" i="3"/>
  <c r="D118" i="231" l="1"/>
  <c r="D117" i="164" l="1"/>
  <c r="G119" i="230"/>
  <c r="D111" i="250" l="1"/>
  <c r="H59" i="285"/>
  <c r="M103" i="3"/>
  <c r="R103" i="3"/>
  <c r="Q103" i="3"/>
  <c r="J103" i="3"/>
  <c r="G103" i="3"/>
  <c r="C103" i="3"/>
  <c r="D110" i="250" l="1"/>
  <c r="H58" i="285"/>
  <c r="R102" i="3"/>
  <c r="Q102" i="3"/>
  <c r="M102" i="3" l="1"/>
  <c r="J102" i="3"/>
  <c r="G102" i="3"/>
  <c r="C102" i="3"/>
  <c r="G117" i="230" l="1"/>
  <c r="D109" i="250" l="1"/>
  <c r="H57" i="285" l="1"/>
  <c r="H56" i="285"/>
  <c r="L81" i="284"/>
  <c r="L82" i="284"/>
  <c r="K81" i="284"/>
  <c r="O81" i="284"/>
  <c r="N82" i="284"/>
  <c r="N81" i="284"/>
  <c r="K82" i="284"/>
  <c r="E62" i="290"/>
  <c r="C62" i="290"/>
  <c r="A123" i="224" l="1"/>
  <c r="A122" i="224"/>
  <c r="A121" i="224"/>
  <c r="A120" i="224"/>
  <c r="A119" i="224"/>
  <c r="A118" i="224"/>
  <c r="A117" i="224"/>
  <c r="A116" i="224"/>
  <c r="R101" i="3"/>
  <c r="Q101" i="3"/>
  <c r="M101" i="3"/>
  <c r="J101" i="3"/>
  <c r="G101" i="3"/>
  <c r="C101" i="3"/>
  <c r="O83" i="284" l="1"/>
  <c r="N83" i="284"/>
  <c r="M83" i="284"/>
  <c r="P82" i="284"/>
  <c r="L83" i="284"/>
  <c r="K83" i="284"/>
  <c r="A90" i="284"/>
  <c r="A89" i="284"/>
  <c r="A88" i="284"/>
  <c r="A87" i="284"/>
  <c r="A86" i="284"/>
  <c r="A85" i="284"/>
  <c r="A84" i="284"/>
  <c r="A83" i="284"/>
  <c r="A123" i="164"/>
  <c r="A122" i="164"/>
  <c r="A121" i="164"/>
  <c r="A120" i="164"/>
  <c r="A119" i="164"/>
  <c r="A118" i="164"/>
  <c r="A117" i="164"/>
  <c r="A116" i="164"/>
  <c r="A123" i="201"/>
  <c r="A122" i="201"/>
  <c r="A121" i="201"/>
  <c r="A120" i="201"/>
  <c r="A119" i="201"/>
  <c r="A118" i="201"/>
  <c r="A117" i="201"/>
  <c r="A116" i="201"/>
  <c r="A123" i="200"/>
  <c r="A122" i="200"/>
  <c r="A121" i="200"/>
  <c r="A120" i="200"/>
  <c r="A119" i="200"/>
  <c r="A118" i="200"/>
  <c r="A117" i="200"/>
  <c r="A116" i="200"/>
  <c r="A83" i="283"/>
  <c r="A82" i="283"/>
  <c r="A81" i="283"/>
  <c r="A80" i="283"/>
  <c r="A79" i="283"/>
  <c r="A78" i="283"/>
  <c r="A77" i="283"/>
  <c r="A76" i="283"/>
  <c r="A116" i="250"/>
  <c r="A115" i="250"/>
  <c r="A114" i="250"/>
  <c r="A113" i="250"/>
  <c r="A112" i="250"/>
  <c r="A111" i="250"/>
  <c r="A110" i="250"/>
  <c r="A109" i="250"/>
  <c r="P81" i="284" l="1"/>
  <c r="E83" i="284" s="1"/>
  <c r="P83" i="284" l="1"/>
  <c r="A73" i="286" l="1"/>
  <c r="A72" i="286"/>
  <c r="A71" i="286"/>
  <c r="A70" i="286"/>
  <c r="A69" i="286"/>
  <c r="A68" i="286"/>
  <c r="A67" i="286"/>
  <c r="A66" i="286"/>
  <c r="A86" i="282"/>
  <c r="A85" i="282"/>
  <c r="A84" i="282"/>
  <c r="A83" i="282"/>
  <c r="A82" i="282"/>
  <c r="A81" i="282"/>
  <c r="A80" i="282"/>
  <c r="A79" i="282"/>
  <c r="A63" i="290"/>
  <c r="A64" i="290"/>
  <c r="A65" i="290"/>
  <c r="A66" i="290"/>
  <c r="A67" i="290"/>
  <c r="A68" i="290"/>
  <c r="A69" i="290"/>
  <c r="A62" i="290"/>
  <c r="A123" i="231"/>
  <c r="A122" i="231"/>
  <c r="A121" i="231"/>
  <c r="A120" i="231"/>
  <c r="A119" i="231"/>
  <c r="A118" i="231"/>
  <c r="A117" i="231"/>
  <c r="A116" i="231"/>
  <c r="A125" i="230" l="1"/>
  <c r="A124" i="230"/>
  <c r="A122" i="230"/>
  <c r="A121" i="230"/>
  <c r="A120" i="230"/>
  <c r="A119" i="230"/>
  <c r="A118" i="230"/>
  <c r="A117" i="230"/>
  <c r="C176" i="285"/>
  <c r="J200" i="285" l="1"/>
  <c r="J330" i="285" s="1"/>
  <c r="J199" i="285"/>
  <c r="J329" i="285" s="1"/>
  <c r="J198" i="285"/>
  <c r="J328" i="285" s="1"/>
  <c r="J197" i="285"/>
  <c r="J327" i="285" s="1"/>
  <c r="J196" i="285"/>
  <c r="J326" i="285" s="1"/>
  <c r="J195" i="285"/>
  <c r="J325" i="285" s="1"/>
  <c r="J194" i="285"/>
  <c r="J324" i="285" s="1"/>
  <c r="J193" i="285"/>
  <c r="J323" i="285" s="1"/>
  <c r="J192" i="285"/>
  <c r="J322" i="285" s="1"/>
  <c r="J191" i="285"/>
  <c r="J321" i="285" s="1"/>
  <c r="H200" i="285"/>
  <c r="H330" i="285" s="1"/>
  <c r="G200" i="285"/>
  <c r="G330" i="285" s="1"/>
  <c r="F200" i="285"/>
  <c r="F330" i="285" s="1"/>
  <c r="E200" i="285"/>
  <c r="E330" i="285" s="1"/>
  <c r="D200" i="285"/>
  <c r="D330" i="285" s="1"/>
  <c r="H199" i="285"/>
  <c r="H329" i="285" s="1"/>
  <c r="G199" i="285"/>
  <c r="G329" i="285" s="1"/>
  <c r="F199" i="285"/>
  <c r="F329" i="285" s="1"/>
  <c r="E199" i="285"/>
  <c r="E329" i="285" s="1"/>
  <c r="D199" i="285"/>
  <c r="D329" i="285" s="1"/>
  <c r="H198" i="285"/>
  <c r="H328" i="285" s="1"/>
  <c r="G198" i="285"/>
  <c r="G328" i="285" s="1"/>
  <c r="F198" i="285"/>
  <c r="F328" i="285" s="1"/>
  <c r="E198" i="285"/>
  <c r="E328" i="285" s="1"/>
  <c r="D198" i="285"/>
  <c r="D328" i="285" s="1"/>
  <c r="H197" i="285"/>
  <c r="H327" i="285" s="1"/>
  <c r="G197" i="285"/>
  <c r="G327" i="285" s="1"/>
  <c r="F197" i="285"/>
  <c r="F327" i="285" s="1"/>
  <c r="E197" i="285"/>
  <c r="E327" i="285" s="1"/>
  <c r="D197" i="285"/>
  <c r="D327" i="285" s="1"/>
  <c r="H196" i="285"/>
  <c r="H326" i="285" s="1"/>
  <c r="G196" i="285"/>
  <c r="G326" i="285" s="1"/>
  <c r="F196" i="285"/>
  <c r="F326" i="285" s="1"/>
  <c r="E196" i="285"/>
  <c r="E326" i="285" s="1"/>
  <c r="D196" i="285"/>
  <c r="D326" i="285" s="1"/>
  <c r="H195" i="285"/>
  <c r="H325" i="285" s="1"/>
  <c r="G195" i="285"/>
  <c r="G325" i="285" s="1"/>
  <c r="F195" i="285"/>
  <c r="F325" i="285" s="1"/>
  <c r="E195" i="285"/>
  <c r="E325" i="285" s="1"/>
  <c r="D195" i="285"/>
  <c r="D325" i="285" s="1"/>
  <c r="H194" i="285"/>
  <c r="H324" i="285" s="1"/>
  <c r="G194" i="285"/>
  <c r="G324" i="285" s="1"/>
  <c r="F194" i="285"/>
  <c r="F324" i="285" s="1"/>
  <c r="E194" i="285"/>
  <c r="E324" i="285" s="1"/>
  <c r="D194" i="285"/>
  <c r="D324" i="285" s="1"/>
  <c r="H193" i="285"/>
  <c r="H323" i="285" s="1"/>
  <c r="G193" i="285"/>
  <c r="G323" i="285" s="1"/>
  <c r="F193" i="285"/>
  <c r="F323" i="285" s="1"/>
  <c r="E193" i="285"/>
  <c r="E323" i="285" s="1"/>
  <c r="D193" i="285"/>
  <c r="D323" i="285" s="1"/>
  <c r="H192" i="285"/>
  <c r="H322" i="285" s="1"/>
  <c r="G192" i="285"/>
  <c r="G322" i="285" s="1"/>
  <c r="F192" i="285"/>
  <c r="F322" i="285" s="1"/>
  <c r="E192" i="285"/>
  <c r="E322" i="285" s="1"/>
  <c r="D192" i="285"/>
  <c r="D322" i="285" s="1"/>
  <c r="H191" i="285"/>
  <c r="H321" i="285" s="1"/>
  <c r="G191" i="285"/>
  <c r="G321" i="285" s="1"/>
  <c r="F191" i="285"/>
  <c r="F321" i="285" s="1"/>
  <c r="E191" i="285"/>
  <c r="E321" i="285" s="1"/>
  <c r="D191" i="285"/>
  <c r="D321" i="285" s="1"/>
  <c r="J190" i="285"/>
  <c r="J320" i="285" s="1"/>
  <c r="H190" i="285"/>
  <c r="H320" i="285" s="1"/>
  <c r="G190" i="285"/>
  <c r="G320" i="285" s="1"/>
  <c r="F190" i="285"/>
  <c r="F320" i="285" s="1"/>
  <c r="E190" i="285"/>
  <c r="E320" i="285" s="1"/>
  <c r="D190" i="285"/>
  <c r="C200" i="285"/>
  <c r="C330" i="285" s="1"/>
  <c r="C199" i="285"/>
  <c r="C329" i="285" s="1"/>
  <c r="C198" i="285"/>
  <c r="C328" i="285" s="1"/>
  <c r="C197" i="285"/>
  <c r="C327" i="285" s="1"/>
  <c r="C196" i="285"/>
  <c r="C326" i="285" s="1"/>
  <c r="M326" i="285" s="1"/>
  <c r="C195" i="285"/>
  <c r="C325" i="285" s="1"/>
  <c r="M325" i="285" s="1"/>
  <c r="C194" i="285"/>
  <c r="C324" i="285" s="1"/>
  <c r="C193" i="285"/>
  <c r="C323" i="285" s="1"/>
  <c r="C192" i="285"/>
  <c r="C191" i="285"/>
  <c r="C321" i="285" s="1"/>
  <c r="M321" i="285" s="1"/>
  <c r="E68" i="286" s="1"/>
  <c r="C190" i="285"/>
  <c r="C320" i="285" s="1"/>
  <c r="J189" i="285"/>
  <c r="J319" i="285" s="1"/>
  <c r="J188" i="285"/>
  <c r="J318" i="285" s="1"/>
  <c r="H189" i="285"/>
  <c r="H319" i="285" s="1"/>
  <c r="G189" i="285"/>
  <c r="G319" i="285" s="1"/>
  <c r="F189" i="285"/>
  <c r="F319" i="285" s="1"/>
  <c r="E189" i="285"/>
  <c r="E319" i="285" s="1"/>
  <c r="D189" i="285"/>
  <c r="D319" i="285" s="1"/>
  <c r="H188" i="285"/>
  <c r="H318" i="285" s="1"/>
  <c r="G188" i="285"/>
  <c r="G318" i="285" s="1"/>
  <c r="F188" i="285"/>
  <c r="F318" i="285" s="1"/>
  <c r="E188" i="285"/>
  <c r="E318" i="285" s="1"/>
  <c r="D188" i="285"/>
  <c r="C189" i="285"/>
  <c r="C319" i="285" s="1"/>
  <c r="C188" i="285"/>
  <c r="C318" i="285" s="1"/>
  <c r="M132" i="285"/>
  <c r="M131" i="285"/>
  <c r="M130" i="285"/>
  <c r="M129" i="285"/>
  <c r="M128" i="285"/>
  <c r="M127" i="285"/>
  <c r="M126" i="285"/>
  <c r="M125" i="285"/>
  <c r="M124" i="285"/>
  <c r="M123" i="285"/>
  <c r="M122" i="285"/>
  <c r="M121" i="285"/>
  <c r="M68" i="285"/>
  <c r="M67" i="285"/>
  <c r="M66" i="285"/>
  <c r="M65" i="285"/>
  <c r="M64" i="285"/>
  <c r="M63" i="285"/>
  <c r="M62" i="285"/>
  <c r="M61" i="285"/>
  <c r="M60" i="285"/>
  <c r="M59" i="285"/>
  <c r="M58" i="285"/>
  <c r="M57" i="285"/>
  <c r="M56" i="285"/>
  <c r="N112" i="3"/>
  <c r="H112" i="3"/>
  <c r="I112" i="3" s="1"/>
  <c r="K112" i="3" s="1"/>
  <c r="O112" i="3" s="1"/>
  <c r="E112" i="3"/>
  <c r="A112" i="3"/>
  <c r="N111" i="3"/>
  <c r="I111" i="3"/>
  <c r="K111" i="3" s="1"/>
  <c r="O111" i="3" s="1"/>
  <c r="H111" i="3"/>
  <c r="E111" i="3"/>
  <c r="A111" i="3"/>
  <c r="N110" i="3"/>
  <c r="H110" i="3"/>
  <c r="E110" i="3"/>
  <c r="I110" i="3" s="1"/>
  <c r="K110" i="3" s="1"/>
  <c r="O110" i="3" s="1"/>
  <c r="A110" i="3"/>
  <c r="N109" i="3"/>
  <c r="H109" i="3"/>
  <c r="E109" i="3"/>
  <c r="I109" i="3" s="1"/>
  <c r="K109" i="3" s="1"/>
  <c r="O109" i="3" s="1"/>
  <c r="A109" i="3"/>
  <c r="N108" i="3"/>
  <c r="H108" i="3"/>
  <c r="E108" i="3"/>
  <c r="A108" i="3"/>
  <c r="N107" i="3"/>
  <c r="H107" i="3"/>
  <c r="E107" i="3"/>
  <c r="A107" i="3"/>
  <c r="N106" i="3"/>
  <c r="H106" i="3"/>
  <c r="E106" i="3"/>
  <c r="A106" i="3"/>
  <c r="N105" i="3"/>
  <c r="H105" i="3"/>
  <c r="E105" i="3"/>
  <c r="A105" i="3"/>
  <c r="N104" i="3"/>
  <c r="H104" i="3"/>
  <c r="I104" i="3" s="1"/>
  <c r="E104" i="3"/>
  <c r="A104" i="3"/>
  <c r="N103" i="3"/>
  <c r="I103" i="3"/>
  <c r="H103" i="3"/>
  <c r="E103" i="3"/>
  <c r="A103" i="3"/>
  <c r="N102" i="3"/>
  <c r="H102" i="3"/>
  <c r="E102" i="3"/>
  <c r="A102" i="3"/>
  <c r="N101" i="3"/>
  <c r="H101" i="3"/>
  <c r="E101" i="3"/>
  <c r="A101" i="3"/>
  <c r="B118" i="132"/>
  <c r="B119" i="132" s="1"/>
  <c r="B120" i="132" s="1"/>
  <c r="B121" i="132" s="1"/>
  <c r="B122" i="132" s="1"/>
  <c r="B123" i="132" s="1"/>
  <c r="B124" i="132" s="1"/>
  <c r="B125" i="132" s="1"/>
  <c r="B126" i="132" s="1"/>
  <c r="B127" i="132" s="1"/>
  <c r="B128" i="132" s="1"/>
  <c r="B129" i="132" s="1"/>
  <c r="I108" i="3" l="1"/>
  <c r="M324" i="285"/>
  <c r="I107" i="3"/>
  <c r="K107" i="3"/>
  <c r="O107" i="3" s="1"/>
  <c r="C89" i="284"/>
  <c r="E89" i="284" s="1"/>
  <c r="C68" i="290"/>
  <c r="E68" i="290" s="1"/>
  <c r="I106" i="3"/>
  <c r="K106" i="3"/>
  <c r="O106" i="3" s="1"/>
  <c r="C88" i="284"/>
  <c r="E88" i="284" s="1"/>
  <c r="C67" i="290"/>
  <c r="E67" i="290" s="1"/>
  <c r="I105" i="3"/>
  <c r="K105" i="3"/>
  <c r="O105" i="3" s="1"/>
  <c r="C87" i="284"/>
  <c r="E87" i="284" s="1"/>
  <c r="C66" i="290"/>
  <c r="E66" i="290" s="1"/>
  <c r="K104" i="3"/>
  <c r="O104" i="3" s="1"/>
  <c r="C86" i="284"/>
  <c r="E86" i="284" s="1"/>
  <c r="C65" i="290"/>
  <c r="E65" i="290" s="1"/>
  <c r="K103" i="3"/>
  <c r="O103" i="3" s="1"/>
  <c r="C85" i="284"/>
  <c r="E85" i="284" s="1"/>
  <c r="C64" i="290"/>
  <c r="E64" i="290" s="1"/>
  <c r="M319" i="285"/>
  <c r="M323" i="285"/>
  <c r="E70" i="286" s="1"/>
  <c r="E71" i="286"/>
  <c r="I102" i="3"/>
  <c r="K102" i="3"/>
  <c r="O102" i="3" s="1"/>
  <c r="C84" i="284"/>
  <c r="E84" i="284" s="1"/>
  <c r="C63" i="290"/>
  <c r="E63" i="290" s="1"/>
  <c r="M192" i="285"/>
  <c r="C69" i="286" s="1"/>
  <c r="C322" i="285"/>
  <c r="M322" i="285" s="1"/>
  <c r="E69" i="286" s="1"/>
  <c r="M190" i="285"/>
  <c r="C67" i="286" s="1"/>
  <c r="D320" i="285"/>
  <c r="M320" i="285" s="1"/>
  <c r="E67" i="286" s="1"/>
  <c r="M189" i="285"/>
  <c r="M188" i="285"/>
  <c r="D318" i="285"/>
  <c r="M318" i="285" s="1"/>
  <c r="E72" i="286"/>
  <c r="M327" i="285"/>
  <c r="M330" i="285"/>
  <c r="M197" i="285"/>
  <c r="M329" i="285"/>
  <c r="M328" i="285"/>
  <c r="E73" i="286"/>
  <c r="M193" i="285"/>
  <c r="C70" i="286" s="1"/>
  <c r="M196" i="285"/>
  <c r="C73" i="286" s="1"/>
  <c r="M198" i="285"/>
  <c r="M200" i="285"/>
  <c r="M194" i="285"/>
  <c r="C71" i="286" s="1"/>
  <c r="M191" i="285"/>
  <c r="C68" i="286" s="1"/>
  <c r="M195" i="285"/>
  <c r="C72" i="286" s="1"/>
  <c r="M199" i="285"/>
  <c r="I101" i="3"/>
  <c r="K108" i="3" l="1"/>
  <c r="O108" i="3" s="1"/>
  <c r="C90" i="284"/>
  <c r="E90" i="284" s="1"/>
  <c r="C69" i="290"/>
  <c r="E69" i="290" s="1"/>
  <c r="C66" i="286"/>
  <c r="E66" i="286"/>
  <c r="K101" i="3"/>
  <c r="O101" i="3" s="1"/>
  <c r="C83" i="284"/>
  <c r="D77" i="282"/>
  <c r="D108" i="250" l="1"/>
  <c r="H55" i="285" l="1"/>
  <c r="C100" i="3"/>
  <c r="R100" i="3"/>
  <c r="Q100" i="3"/>
  <c r="M100" i="3"/>
  <c r="J100" i="3"/>
  <c r="G100" i="3"/>
  <c r="D113" i="231" l="1"/>
  <c r="G114" i="230"/>
  <c r="D107" i="250" l="1"/>
  <c r="H54" i="285" l="1"/>
  <c r="R99" i="3"/>
  <c r="Q99" i="3"/>
  <c r="M99" i="3"/>
  <c r="J99" i="3"/>
  <c r="G99" i="3"/>
  <c r="C99" i="3"/>
  <c r="G113" i="230" l="1"/>
  <c r="R98" i="3" l="1"/>
  <c r="Q98" i="3"/>
  <c r="D106" i="250" l="1"/>
  <c r="H53" i="285" l="1"/>
  <c r="M98" i="3"/>
  <c r="J98" i="3"/>
  <c r="G98" i="3"/>
  <c r="C98" i="3"/>
  <c r="G112" i="230" l="1"/>
  <c r="H52" i="285" l="1"/>
  <c r="J97" i="3"/>
  <c r="R97" i="3"/>
  <c r="Q97" i="3"/>
  <c r="M97" i="3"/>
  <c r="G97" i="3"/>
  <c r="C97" i="3"/>
  <c r="D105" i="250" l="1"/>
  <c r="A16" i="299" l="1"/>
  <c r="A17" i="299"/>
  <c r="A18" i="299"/>
  <c r="A19" i="299"/>
  <c r="A20" i="299"/>
  <c r="A21" i="299"/>
  <c r="A22" i="299"/>
  <c r="A23" i="299"/>
  <c r="A24" i="299"/>
  <c r="A25" i="299"/>
  <c r="A15" i="299"/>
  <c r="A14" i="299"/>
  <c r="H13" i="299" l="1"/>
  <c r="H14" i="299" s="1"/>
  <c r="H15" i="299" s="1"/>
  <c r="H16" i="299" s="1"/>
  <c r="H17" i="299" s="1"/>
  <c r="H18" i="299" s="1"/>
  <c r="H19" i="299" s="1"/>
  <c r="H20" i="299" s="1"/>
  <c r="H21" i="299" s="1"/>
  <c r="H22" i="299" s="1"/>
  <c r="H23" i="299" s="1"/>
  <c r="H24" i="299" s="1"/>
  <c r="H25" i="299" s="1"/>
  <c r="G111" i="230" l="1"/>
  <c r="M96" i="3" l="1"/>
  <c r="H51" i="285"/>
  <c r="J96" i="3"/>
  <c r="G96" i="3"/>
  <c r="C96" i="3"/>
  <c r="R96" i="3"/>
  <c r="Q96" i="3"/>
  <c r="D104" i="250" l="1"/>
  <c r="G110" i="230" l="1"/>
  <c r="D103" i="250" l="1"/>
  <c r="H50" i="285" l="1"/>
  <c r="R95" i="3"/>
  <c r="Q95" i="3"/>
  <c r="M95" i="3"/>
  <c r="J95" i="3"/>
  <c r="G95" i="3"/>
  <c r="C95" i="3"/>
  <c r="G109" i="230" l="1"/>
  <c r="D102" i="250" l="1"/>
  <c r="C94" i="3" l="1"/>
  <c r="R94" i="3"/>
  <c r="Q94" i="3"/>
  <c r="M94" i="3"/>
  <c r="J94" i="3"/>
  <c r="G94" i="3"/>
  <c r="H49" i="285"/>
  <c r="D70" i="282" l="1"/>
  <c r="D101" i="250" l="1"/>
  <c r="H48" i="285" l="1"/>
  <c r="R93" i="3"/>
  <c r="Q93" i="3"/>
  <c r="M93" i="3"/>
  <c r="J93" i="3"/>
  <c r="G93" i="3"/>
  <c r="C93" i="3"/>
  <c r="G107" i="230" l="1"/>
  <c r="D100" i="250" l="1"/>
  <c r="H47" i="285" l="1"/>
  <c r="R92" i="3"/>
  <c r="Q92" i="3"/>
  <c r="M92" i="3"/>
  <c r="J92" i="3"/>
  <c r="G92" i="3"/>
  <c r="C92" i="3"/>
  <c r="D103" i="231" l="1"/>
  <c r="D99" i="250" l="1"/>
  <c r="H46" i="285" l="1"/>
  <c r="R91" i="3"/>
  <c r="Q91" i="3"/>
  <c r="M91" i="3"/>
  <c r="J91" i="3"/>
  <c r="G91" i="3"/>
  <c r="C91" i="3"/>
  <c r="D104" i="164" l="1"/>
  <c r="A42" i="295" l="1"/>
  <c r="A41" i="295"/>
  <c r="A40" i="295"/>
  <c r="A39" i="295"/>
  <c r="A38" i="295"/>
  <c r="A37" i="295"/>
  <c r="A36" i="295"/>
  <c r="A41" i="294"/>
  <c r="A40" i="294"/>
  <c r="A39" i="294"/>
  <c r="A38" i="294"/>
  <c r="A37" i="294"/>
  <c r="A36" i="294"/>
  <c r="A35" i="294"/>
  <c r="D104" i="231" l="1"/>
  <c r="G105" i="230"/>
  <c r="D98" i="250" l="1"/>
  <c r="H45" i="285" l="1"/>
  <c r="M90" i="3"/>
  <c r="J90" i="3"/>
  <c r="G90" i="3"/>
  <c r="C90" i="3"/>
  <c r="R90" i="3"/>
  <c r="Q90" i="3"/>
  <c r="G23" i="295" l="1"/>
  <c r="G22" i="294" l="1"/>
  <c r="A35" i="295"/>
  <c r="A34" i="295"/>
  <c r="A33" i="295"/>
  <c r="A32" i="295"/>
  <c r="A31" i="295"/>
  <c r="A30" i="295"/>
  <c r="A29" i="295"/>
  <c r="A28" i="295"/>
  <c r="A27" i="295"/>
  <c r="A26" i="295"/>
  <c r="A25" i="295"/>
  <c r="A24" i="295"/>
  <c r="A22" i="295"/>
  <c r="A21" i="295"/>
  <c r="A20" i="295"/>
  <c r="A19" i="295"/>
  <c r="A18" i="295"/>
  <c r="A17" i="295"/>
  <c r="A16" i="295"/>
  <c r="A15" i="295"/>
  <c r="A14" i="295"/>
  <c r="H13" i="295"/>
  <c r="H14" i="295" s="1"/>
  <c r="H15" i="295" l="1"/>
  <c r="G104" i="230"/>
  <c r="D97" i="250"/>
  <c r="H16" i="295" l="1"/>
  <c r="L69" i="284"/>
  <c r="K69" i="284"/>
  <c r="L68" i="284"/>
  <c r="K68" i="284"/>
  <c r="C175" i="285"/>
  <c r="C305" i="285" s="1"/>
  <c r="H44" i="285"/>
  <c r="H43" i="285"/>
  <c r="M89" i="3"/>
  <c r="P69" i="284" l="1"/>
  <c r="P68" i="284"/>
  <c r="H17" i="295"/>
  <c r="R89" i="3"/>
  <c r="Q89" i="3"/>
  <c r="J89" i="3"/>
  <c r="G89" i="3"/>
  <c r="F89" i="3"/>
  <c r="C89" i="3"/>
  <c r="E70" i="284" l="1"/>
  <c r="H18" i="295"/>
  <c r="A34" i="294"/>
  <c r="A33" i="294"/>
  <c r="A32" i="294"/>
  <c r="A31" i="294"/>
  <c r="A30" i="294"/>
  <c r="A29" i="294"/>
  <c r="A28" i="294"/>
  <c r="A27" i="294"/>
  <c r="A26" i="294"/>
  <c r="A25" i="294"/>
  <c r="A24" i="294"/>
  <c r="A64" i="286"/>
  <c r="A63" i="286"/>
  <c r="A62" i="286"/>
  <c r="A61" i="286"/>
  <c r="A60" i="286"/>
  <c r="A59" i="286"/>
  <c r="A58" i="286"/>
  <c r="A57" i="286"/>
  <c r="A56" i="286"/>
  <c r="A55" i="286"/>
  <c r="A54" i="286"/>
  <c r="A53" i="286"/>
  <c r="O70" i="284"/>
  <c r="N70" i="284"/>
  <c r="L70" i="284"/>
  <c r="K70" i="284"/>
  <c r="M70" i="284"/>
  <c r="A81" i="284"/>
  <c r="A80" i="284"/>
  <c r="A79" i="284"/>
  <c r="A78" i="284"/>
  <c r="A77" i="284"/>
  <c r="A76" i="284"/>
  <c r="A75" i="284"/>
  <c r="A74" i="284"/>
  <c r="A73" i="284"/>
  <c r="A72" i="284"/>
  <c r="A71" i="284"/>
  <c r="A70" i="284"/>
  <c r="A114" i="224"/>
  <c r="A113" i="224"/>
  <c r="A112" i="224"/>
  <c r="A111" i="224"/>
  <c r="A110" i="224"/>
  <c r="A109" i="224"/>
  <c r="A108" i="224"/>
  <c r="A107" i="224"/>
  <c r="A106" i="224"/>
  <c r="A105" i="224"/>
  <c r="A104" i="224"/>
  <c r="A103" i="224"/>
  <c r="A114" i="164"/>
  <c r="A113" i="164"/>
  <c r="A112" i="164"/>
  <c r="A111" i="164"/>
  <c r="A110" i="164"/>
  <c r="A109" i="164"/>
  <c r="A108" i="164"/>
  <c r="A107" i="164"/>
  <c r="A106" i="164"/>
  <c r="A105" i="164"/>
  <c r="A104" i="164"/>
  <c r="A103" i="164"/>
  <c r="A114" i="201"/>
  <c r="A113" i="201"/>
  <c r="A112" i="201"/>
  <c r="A111" i="201"/>
  <c r="A110" i="201"/>
  <c r="A109" i="201"/>
  <c r="A108" i="201"/>
  <c r="A107" i="201"/>
  <c r="A106" i="201"/>
  <c r="A105" i="201"/>
  <c r="A104" i="201"/>
  <c r="A103" i="201"/>
  <c r="A114" i="200"/>
  <c r="A113" i="200"/>
  <c r="A112" i="200"/>
  <c r="A111" i="200"/>
  <c r="A110" i="200"/>
  <c r="A109" i="200"/>
  <c r="A108" i="200"/>
  <c r="A107" i="200"/>
  <c r="A106" i="200"/>
  <c r="A105" i="200"/>
  <c r="A104" i="200"/>
  <c r="A103" i="200"/>
  <c r="A75" i="283"/>
  <c r="A74" i="283"/>
  <c r="A73" i="283"/>
  <c r="A72" i="283"/>
  <c r="A70" i="283"/>
  <c r="A69" i="283"/>
  <c r="A68" i="283"/>
  <c r="A67" i="283"/>
  <c r="A66" i="283"/>
  <c r="A65" i="283"/>
  <c r="A64" i="283"/>
  <c r="A62" i="283"/>
  <c r="A108" i="250"/>
  <c r="A107" i="250"/>
  <c r="A106" i="250"/>
  <c r="A105" i="250"/>
  <c r="A104" i="250"/>
  <c r="A103" i="250"/>
  <c r="A102" i="250"/>
  <c r="A101" i="250"/>
  <c r="A100" i="250"/>
  <c r="A99" i="250"/>
  <c r="A98" i="250"/>
  <c r="A97" i="250"/>
  <c r="A77" i="282"/>
  <c r="A76" i="282"/>
  <c r="A75" i="282"/>
  <c r="A74" i="282"/>
  <c r="A73" i="282"/>
  <c r="A72" i="282"/>
  <c r="A71" i="282"/>
  <c r="A70" i="282"/>
  <c r="A69" i="282"/>
  <c r="A68" i="282"/>
  <c r="A67" i="282"/>
  <c r="A66" i="282"/>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H19" i="295" l="1"/>
  <c r="P70" i="284"/>
  <c r="J187" i="285"/>
  <c r="J317" i="285" s="1"/>
  <c r="J186" i="285"/>
  <c r="J316" i="285" s="1"/>
  <c r="J185" i="285"/>
  <c r="J184" i="285"/>
  <c r="J314" i="285" s="1"/>
  <c r="J183" i="285"/>
  <c r="J313" i="285" s="1"/>
  <c r="J182" i="285"/>
  <c r="J312" i="285" s="1"/>
  <c r="J181" i="285"/>
  <c r="J311" i="285" s="1"/>
  <c r="J180" i="285"/>
  <c r="J310" i="285" s="1"/>
  <c r="J179" i="285"/>
  <c r="J309" i="285" s="1"/>
  <c r="J178" i="285"/>
  <c r="J308" i="285" s="1"/>
  <c r="H187" i="285"/>
  <c r="H317" i="285" s="1"/>
  <c r="G187" i="285"/>
  <c r="G317" i="285" s="1"/>
  <c r="F187" i="285"/>
  <c r="F317" i="285" s="1"/>
  <c r="E187" i="285"/>
  <c r="E317" i="285" s="1"/>
  <c r="D187" i="285"/>
  <c r="D317" i="285" s="1"/>
  <c r="C187" i="285"/>
  <c r="C317" i="285" s="1"/>
  <c r="H186" i="285"/>
  <c r="H316" i="285" s="1"/>
  <c r="G186" i="285"/>
  <c r="G316" i="285" s="1"/>
  <c r="F186" i="285"/>
  <c r="F316" i="285" s="1"/>
  <c r="E186" i="285"/>
  <c r="E316" i="285" s="1"/>
  <c r="D186" i="285"/>
  <c r="D316" i="285" s="1"/>
  <c r="C186" i="285"/>
  <c r="C316" i="285" s="1"/>
  <c r="H185" i="285"/>
  <c r="H315" i="285" s="1"/>
  <c r="G185" i="285"/>
  <c r="G315" i="285" s="1"/>
  <c r="F185" i="285"/>
  <c r="F315" i="285" s="1"/>
  <c r="E185" i="285"/>
  <c r="E315" i="285" s="1"/>
  <c r="D185" i="285"/>
  <c r="D315" i="285" s="1"/>
  <c r="C185" i="285"/>
  <c r="C315" i="285" s="1"/>
  <c r="H184" i="285"/>
  <c r="H314" i="285" s="1"/>
  <c r="G184" i="285"/>
  <c r="G314" i="285" s="1"/>
  <c r="F184" i="285"/>
  <c r="F314" i="285" s="1"/>
  <c r="E184" i="285"/>
  <c r="E314" i="285" s="1"/>
  <c r="D184" i="285"/>
  <c r="D314" i="285" s="1"/>
  <c r="C184" i="285"/>
  <c r="C314" i="285" s="1"/>
  <c r="H183" i="285"/>
  <c r="H313" i="285" s="1"/>
  <c r="G183" i="285"/>
  <c r="G313" i="285" s="1"/>
  <c r="F183" i="285"/>
  <c r="F313" i="285" s="1"/>
  <c r="E183" i="285"/>
  <c r="E313" i="285" s="1"/>
  <c r="D183" i="285"/>
  <c r="D313" i="285" s="1"/>
  <c r="C183" i="285"/>
  <c r="C313" i="285" s="1"/>
  <c r="H182" i="285"/>
  <c r="H312" i="285" s="1"/>
  <c r="G182" i="285"/>
  <c r="G312" i="285" s="1"/>
  <c r="F182" i="285"/>
  <c r="F312" i="285" s="1"/>
  <c r="E182" i="285"/>
  <c r="E312" i="285" s="1"/>
  <c r="D182" i="285"/>
  <c r="D312" i="285" s="1"/>
  <c r="C182" i="285"/>
  <c r="C312" i="285" s="1"/>
  <c r="H181" i="285"/>
  <c r="H311" i="285" s="1"/>
  <c r="G181" i="285"/>
  <c r="G311" i="285" s="1"/>
  <c r="F181" i="285"/>
  <c r="F311" i="285" s="1"/>
  <c r="E181" i="285"/>
  <c r="E311" i="285" s="1"/>
  <c r="D181" i="285"/>
  <c r="C181" i="285"/>
  <c r="C311" i="285" s="1"/>
  <c r="H180" i="285"/>
  <c r="H310" i="285" s="1"/>
  <c r="G180" i="285"/>
  <c r="G310" i="285" s="1"/>
  <c r="F180" i="285"/>
  <c r="F310" i="285" s="1"/>
  <c r="E180" i="285"/>
  <c r="E310" i="285" s="1"/>
  <c r="D180" i="285"/>
  <c r="D310" i="285" s="1"/>
  <c r="C180" i="285"/>
  <c r="C310" i="285" s="1"/>
  <c r="H179" i="285"/>
  <c r="H309" i="285" s="1"/>
  <c r="G179" i="285"/>
  <c r="G309" i="285" s="1"/>
  <c r="F179" i="285"/>
  <c r="F309" i="285" s="1"/>
  <c r="E179" i="285"/>
  <c r="E309" i="285" s="1"/>
  <c r="D179" i="285"/>
  <c r="D309" i="285" s="1"/>
  <c r="C179" i="285"/>
  <c r="C309" i="285" s="1"/>
  <c r="H178" i="285"/>
  <c r="H308" i="285" s="1"/>
  <c r="G178" i="285"/>
  <c r="G308" i="285" s="1"/>
  <c r="F178" i="285"/>
  <c r="F308" i="285" s="1"/>
  <c r="E178" i="285"/>
  <c r="E308" i="285" s="1"/>
  <c r="D178" i="285"/>
  <c r="D308" i="285" s="1"/>
  <c r="C178" i="285"/>
  <c r="C308" i="285" s="1"/>
  <c r="J177" i="285"/>
  <c r="J307" i="285" s="1"/>
  <c r="J176" i="285"/>
  <c r="J306" i="285" s="1"/>
  <c r="J175" i="285"/>
  <c r="J305" i="285" s="1"/>
  <c r="H177" i="285"/>
  <c r="H307" i="285" s="1"/>
  <c r="G177" i="285"/>
  <c r="G307" i="285" s="1"/>
  <c r="F177" i="285"/>
  <c r="F307" i="285" s="1"/>
  <c r="E177" i="285"/>
  <c r="D177" i="285"/>
  <c r="D307" i="285" s="1"/>
  <c r="H176" i="285"/>
  <c r="H306" i="285" s="1"/>
  <c r="G176" i="285"/>
  <c r="G306" i="285" s="1"/>
  <c r="F176" i="285"/>
  <c r="E176" i="285"/>
  <c r="E306" i="285" s="1"/>
  <c r="D176" i="285"/>
  <c r="D306" i="285" s="1"/>
  <c r="H175" i="285"/>
  <c r="H305" i="285" s="1"/>
  <c r="G175" i="285"/>
  <c r="F175" i="285"/>
  <c r="F305" i="285" s="1"/>
  <c r="E175" i="285"/>
  <c r="E305" i="285" s="1"/>
  <c r="D175" i="285"/>
  <c r="D305" i="285" s="1"/>
  <c r="C177" i="285"/>
  <c r="C307" i="285" s="1"/>
  <c r="C306" i="285"/>
  <c r="M120" i="285"/>
  <c r="M119" i="285"/>
  <c r="M118" i="285"/>
  <c r="M117" i="285"/>
  <c r="M116" i="285"/>
  <c r="M115" i="285"/>
  <c r="M114" i="285"/>
  <c r="M113" i="285"/>
  <c r="M112" i="285"/>
  <c r="M111" i="285"/>
  <c r="M110" i="285"/>
  <c r="M109" i="285"/>
  <c r="M43" i="285"/>
  <c r="M55" i="285"/>
  <c r="M54" i="285"/>
  <c r="M53" i="285"/>
  <c r="M52" i="285"/>
  <c r="M51" i="285"/>
  <c r="M50" i="285"/>
  <c r="M49" i="285"/>
  <c r="M48" i="285"/>
  <c r="M47" i="285"/>
  <c r="M46" i="285"/>
  <c r="M45" i="285"/>
  <c r="M44" i="285"/>
  <c r="N100" i="3"/>
  <c r="N99" i="3"/>
  <c r="N98" i="3"/>
  <c r="N97" i="3"/>
  <c r="N96" i="3"/>
  <c r="N95" i="3"/>
  <c r="N94" i="3"/>
  <c r="N93" i="3"/>
  <c r="N92" i="3"/>
  <c r="N91" i="3"/>
  <c r="N90" i="3"/>
  <c r="N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M313" i="285" l="1"/>
  <c r="E60" i="286" s="1"/>
  <c r="M308" i="285"/>
  <c r="E55" i="286" s="1"/>
  <c r="M181" i="285"/>
  <c r="C58" i="286" s="1"/>
  <c r="H20" i="295"/>
  <c r="M309" i="285"/>
  <c r="E56" i="286" s="1"/>
  <c r="M317" i="285"/>
  <c r="E64" i="286" s="1"/>
  <c r="M175" i="285"/>
  <c r="M176" i="285"/>
  <c r="M177" i="285"/>
  <c r="C54" i="286" s="1"/>
  <c r="M185" i="285"/>
  <c r="C62" i="286" s="1"/>
  <c r="G305" i="285"/>
  <c r="M305" i="285" s="1"/>
  <c r="M310" i="285"/>
  <c r="E57" i="286" s="1"/>
  <c r="D311" i="285"/>
  <c r="M311" i="285" s="1"/>
  <c r="E58" i="286" s="1"/>
  <c r="M312" i="285"/>
  <c r="E59" i="286" s="1"/>
  <c r="M314" i="285"/>
  <c r="E61" i="286" s="1"/>
  <c r="M316" i="285"/>
  <c r="E63" i="286" s="1"/>
  <c r="M178" i="285"/>
  <c r="C55" i="286" s="1"/>
  <c r="M182" i="285"/>
  <c r="C59" i="286" s="1"/>
  <c r="M186" i="285"/>
  <c r="C63" i="286" s="1"/>
  <c r="F306" i="285"/>
  <c r="M306" i="285" s="1"/>
  <c r="E307" i="285"/>
  <c r="M307" i="285" s="1"/>
  <c r="E54" i="286" s="1"/>
  <c r="J315" i="285"/>
  <c r="M315" i="285" s="1"/>
  <c r="E62" i="286" s="1"/>
  <c r="M180" i="285"/>
  <c r="C57" i="286" s="1"/>
  <c r="M184" i="285"/>
  <c r="C61" i="286" s="1"/>
  <c r="M179" i="285"/>
  <c r="C56" i="286" s="1"/>
  <c r="M183" i="285"/>
  <c r="C60" i="286" s="1"/>
  <c r="M187" i="285"/>
  <c r="C64" i="286" s="1"/>
  <c r="I93" i="3"/>
  <c r="I90" i="3"/>
  <c r="I94" i="3"/>
  <c r="I98" i="3"/>
  <c r="I89" i="3"/>
  <c r="I91" i="3"/>
  <c r="I95" i="3"/>
  <c r="I99" i="3"/>
  <c r="I97" i="3"/>
  <c r="I92" i="3"/>
  <c r="I96" i="3"/>
  <c r="I100" i="3"/>
  <c r="D101" i="231"/>
  <c r="H21" i="295" l="1"/>
  <c r="C53" i="286"/>
  <c r="E53" i="286"/>
  <c r="K92" i="3"/>
  <c r="O92" i="3" s="1"/>
  <c r="C73" i="284"/>
  <c r="E73" i="284" s="1"/>
  <c r="K96" i="3"/>
  <c r="O96" i="3" s="1"/>
  <c r="C77" i="284"/>
  <c r="E77" i="284" s="1"/>
  <c r="K97" i="3"/>
  <c r="O97" i="3" s="1"/>
  <c r="C78" i="284"/>
  <c r="E78" i="284" s="1"/>
  <c r="K95" i="3"/>
  <c r="O95" i="3" s="1"/>
  <c r="C76" i="284"/>
  <c r="E76" i="284" s="1"/>
  <c r="K89" i="3"/>
  <c r="O89" i="3" s="1"/>
  <c r="C70" i="284"/>
  <c r="K94" i="3"/>
  <c r="O94" i="3" s="1"/>
  <c r="C75" i="284"/>
  <c r="E75" i="284" s="1"/>
  <c r="K93" i="3"/>
  <c r="O93" i="3" s="1"/>
  <c r="C74" i="284"/>
  <c r="E74" i="284" s="1"/>
  <c r="K100" i="3"/>
  <c r="O100" i="3" s="1"/>
  <c r="C81" i="284"/>
  <c r="E81" i="284" s="1"/>
  <c r="K99" i="3"/>
  <c r="O99" i="3" s="1"/>
  <c r="C80" i="284"/>
  <c r="E80" i="284" s="1"/>
  <c r="K91" i="3"/>
  <c r="O91" i="3" s="1"/>
  <c r="C72" i="284"/>
  <c r="E72" i="284" s="1"/>
  <c r="K98" i="3"/>
  <c r="O98" i="3" s="1"/>
  <c r="C79" i="284"/>
  <c r="E79" i="284" s="1"/>
  <c r="K90" i="3"/>
  <c r="O90" i="3" s="1"/>
  <c r="C71" i="284"/>
  <c r="E71" i="284" s="1"/>
  <c r="D96" i="250"/>
  <c r="H22" i="295" l="1"/>
  <c r="H23" i="295" s="1"/>
  <c r="H24" i="295" s="1"/>
  <c r="H25" i="295" s="1"/>
  <c r="H26" i="295" s="1"/>
  <c r="H27" i="295" s="1"/>
  <c r="H28" i="295" s="1"/>
  <c r="H29" i="295" s="1"/>
  <c r="H30" i="295" s="1"/>
  <c r="H31" i="295" s="1"/>
  <c r="H32" i="295" s="1"/>
  <c r="H33" i="295" s="1"/>
  <c r="H34" i="295" s="1"/>
  <c r="H35" i="295" s="1"/>
  <c r="H36" i="295" s="1"/>
  <c r="M108" i="285"/>
  <c r="H42" i="285"/>
  <c r="M42" i="285" s="1"/>
  <c r="R88" i="3"/>
  <c r="Q88" i="3"/>
  <c r="M88" i="3"/>
  <c r="J88" i="3"/>
  <c r="G88" i="3"/>
  <c r="C88" i="3"/>
  <c r="H37" i="295" l="1"/>
  <c r="D63" i="282"/>
  <c r="D100" i="231"/>
  <c r="G101" i="230"/>
  <c r="H38" i="295" l="1"/>
  <c r="D95" i="250"/>
  <c r="H39" i="295" l="1"/>
  <c r="M107" i="285"/>
  <c r="H41" i="285"/>
  <c r="R87" i="3"/>
  <c r="Q87" i="3"/>
  <c r="M87" i="3"/>
  <c r="J87" i="3"/>
  <c r="G87" i="3"/>
  <c r="C87" i="3"/>
  <c r="H40" i="295" l="1"/>
  <c r="D94" i="250"/>
  <c r="H41" i="295" l="1"/>
  <c r="D99" i="231"/>
  <c r="G100" i="230"/>
  <c r="H42" i="295" l="1"/>
  <c r="M106" i="285"/>
  <c r="H40" i="285"/>
  <c r="C86" i="3"/>
  <c r="R86" i="3"/>
  <c r="Q86" i="3"/>
  <c r="M86" i="3"/>
  <c r="J86" i="3"/>
  <c r="G86" i="3"/>
  <c r="D98" i="231" l="1"/>
  <c r="G99" i="230"/>
  <c r="M105" i="285" l="1"/>
  <c r="H39" i="285"/>
  <c r="R85" i="3"/>
  <c r="Q85" i="3"/>
  <c r="M85" i="3"/>
  <c r="J85" i="3"/>
  <c r="G85" i="3"/>
  <c r="F85" i="3"/>
  <c r="C85" i="3"/>
  <c r="D93" i="250" l="1"/>
  <c r="D97" i="231" l="1"/>
  <c r="M104" i="285" l="1"/>
  <c r="H38" i="285"/>
  <c r="M84" i="3"/>
  <c r="J84" i="3"/>
  <c r="G84" i="3"/>
  <c r="F84" i="3"/>
  <c r="C84" i="3"/>
  <c r="R84" i="3"/>
  <c r="Q84" i="3"/>
  <c r="D92" i="250" l="1"/>
  <c r="D96" i="231" l="1"/>
  <c r="G97" i="230"/>
  <c r="D91" i="250"/>
  <c r="M103" i="285" l="1"/>
  <c r="H37" i="285"/>
  <c r="M83" i="3"/>
  <c r="J83" i="3"/>
  <c r="G83" i="3"/>
  <c r="F83" i="3"/>
  <c r="C83" i="3"/>
  <c r="R83" i="3"/>
  <c r="Q83" i="3"/>
  <c r="D58" i="282" l="1"/>
  <c r="D95" i="231"/>
  <c r="G96" i="230"/>
  <c r="D90" i="250" l="1"/>
  <c r="D89" i="250"/>
  <c r="H36" i="285" l="1"/>
  <c r="M82" i="3"/>
  <c r="J82" i="3"/>
  <c r="G82" i="3"/>
  <c r="F82" i="3"/>
  <c r="C82" i="3"/>
  <c r="E82" i="3" s="1"/>
  <c r="R82" i="3"/>
  <c r="Q82" i="3"/>
  <c r="N82" i="3" l="1"/>
  <c r="H82" i="3"/>
  <c r="I82" i="3" s="1"/>
  <c r="K82" i="3" s="1"/>
  <c r="O82" i="3" s="1"/>
  <c r="D94" i="231" l="1"/>
  <c r="G95" i="230"/>
  <c r="D88" i="250" l="1"/>
  <c r="H35" i="285"/>
  <c r="M81" i="3" l="1"/>
  <c r="J81" i="3"/>
  <c r="G81" i="3"/>
  <c r="F81" i="3"/>
  <c r="C81" i="3"/>
  <c r="R81" i="3"/>
  <c r="Q81" i="3"/>
  <c r="A14" i="294" l="1"/>
  <c r="A15" i="294"/>
  <c r="A16" i="294"/>
  <c r="A17" i="294"/>
  <c r="A18" i="294"/>
  <c r="A19" i="294"/>
  <c r="A20" i="294"/>
  <c r="A21" i="294"/>
  <c r="A23" i="294"/>
  <c r="A13" i="294"/>
  <c r="H12" i="294"/>
  <c r="H13" i="294" l="1"/>
  <c r="G94" i="230"/>
  <c r="H14" i="294" l="1"/>
  <c r="D93" i="231"/>
  <c r="H15" i="294" l="1"/>
  <c r="D87" i="250"/>
  <c r="H34" i="285"/>
  <c r="R80" i="3"/>
  <c r="Q80" i="3"/>
  <c r="M80" i="3"/>
  <c r="J80" i="3"/>
  <c r="G80" i="3"/>
  <c r="F80" i="3"/>
  <c r="C80" i="3"/>
  <c r="H16" i="294" l="1"/>
  <c r="H17" i="294" s="1"/>
  <c r="D92" i="231"/>
  <c r="H18" i="294" l="1"/>
  <c r="G93" i="230"/>
  <c r="H19" i="294" l="1"/>
  <c r="H33" i="285"/>
  <c r="M79" i="3"/>
  <c r="J79" i="3"/>
  <c r="G79" i="3"/>
  <c r="F79" i="3"/>
  <c r="C79" i="3"/>
  <c r="R79" i="3"/>
  <c r="Q79" i="3"/>
  <c r="H20" i="294" l="1"/>
  <c r="D86" i="250"/>
  <c r="H21" i="294" l="1"/>
  <c r="H22" i="294" s="1"/>
  <c r="H23" i="294" s="1"/>
  <c r="H24" i="294" s="1"/>
  <c r="H25" i="294" s="1"/>
  <c r="H26" i="294" s="1"/>
  <c r="H27" i="294" s="1"/>
  <c r="H28" i="294" s="1"/>
  <c r="H29" i="294" s="1"/>
  <c r="H30" i="294" s="1"/>
  <c r="H31" i="294" s="1"/>
  <c r="H32" i="294" s="1"/>
  <c r="H33" i="294" s="1"/>
  <c r="H34" i="294" s="1"/>
  <c r="H35" i="294" s="1"/>
  <c r="D91" i="164"/>
  <c r="H36" i="294" l="1"/>
  <c r="D50" i="283"/>
  <c r="G92" i="230"/>
  <c r="H37" i="294" l="1"/>
  <c r="D85" i="250"/>
  <c r="M102" i="285"/>
  <c r="M101" i="285"/>
  <c r="M100" i="285"/>
  <c r="M99" i="285"/>
  <c r="M98" i="285"/>
  <c r="H32" i="285"/>
  <c r="M78" i="3"/>
  <c r="J78" i="3"/>
  <c r="G78" i="3"/>
  <c r="F78" i="3"/>
  <c r="C78" i="3"/>
  <c r="R78" i="3"/>
  <c r="Q78" i="3"/>
  <c r="H38" i="294" l="1"/>
  <c r="D90" i="231"/>
  <c r="D91" i="230"/>
  <c r="H39" i="294" l="1"/>
  <c r="D53" i="282"/>
  <c r="H40" i="294" l="1"/>
  <c r="G91" i="230"/>
  <c r="H41" i="294" l="1"/>
  <c r="L56" i="284"/>
  <c r="N56" i="284"/>
  <c r="M56" i="284"/>
  <c r="N55" i="284"/>
  <c r="C164" i="285"/>
  <c r="J163" i="285"/>
  <c r="G163" i="285"/>
  <c r="F163" i="285"/>
  <c r="E163" i="285"/>
  <c r="D163" i="285"/>
  <c r="J162" i="285"/>
  <c r="J292" i="285" s="1"/>
  <c r="G162" i="285"/>
  <c r="G292" i="285" s="1"/>
  <c r="F162" i="285"/>
  <c r="F292" i="285" s="1"/>
  <c r="E162" i="285"/>
  <c r="E292" i="285" s="1"/>
  <c r="D162" i="285"/>
  <c r="D292" i="285" s="1"/>
  <c r="C163" i="285"/>
  <c r="C293" i="285" s="1"/>
  <c r="C162" i="285"/>
  <c r="C292" i="285" s="1"/>
  <c r="M97" i="285"/>
  <c r="H31" i="285"/>
  <c r="H163" i="285" s="1"/>
  <c r="H30" i="285"/>
  <c r="H162" i="285" s="1"/>
  <c r="H292" i="285" s="1"/>
  <c r="M77" i="3"/>
  <c r="J77" i="3"/>
  <c r="G77" i="3"/>
  <c r="F77" i="3"/>
  <c r="C77" i="3"/>
  <c r="R77" i="3"/>
  <c r="Q77" i="3"/>
  <c r="M292" i="285" l="1"/>
  <c r="D84" i="250" l="1"/>
  <c r="D51" i="282"/>
  <c r="D50" i="282"/>
  <c r="O57" i="284" l="1"/>
  <c r="K57" i="284"/>
  <c r="M57" i="284"/>
  <c r="P55" i="284"/>
  <c r="P56" i="284" l="1"/>
  <c r="E57" i="284" s="1"/>
  <c r="N57" i="284"/>
  <c r="L57" i="284"/>
  <c r="P57" i="284" l="1"/>
  <c r="D88" i="231" l="1"/>
  <c r="G89" i="230" l="1"/>
  <c r="M96" i="285" l="1"/>
  <c r="H29" i="285"/>
  <c r="M76" i="3"/>
  <c r="J76" i="3"/>
  <c r="G76" i="3"/>
  <c r="F76" i="3"/>
  <c r="C76" i="3"/>
  <c r="R76" i="3"/>
  <c r="Q76" i="3"/>
  <c r="D83" i="250" l="1"/>
  <c r="A51" i="286" l="1"/>
  <c r="A50" i="286"/>
  <c r="A49" i="286"/>
  <c r="A48" i="286"/>
  <c r="A47" i="286"/>
  <c r="A46" i="286"/>
  <c r="A45" i="286"/>
  <c r="A44" i="286"/>
  <c r="A43" i="286"/>
  <c r="A42" i="286"/>
  <c r="A41" i="286"/>
  <c r="A40" i="286"/>
  <c r="A68" i="284"/>
  <c r="A67" i="284"/>
  <c r="A66" i="284"/>
  <c r="A65" i="284"/>
  <c r="A64" i="284"/>
  <c r="A63" i="284"/>
  <c r="A62" i="284"/>
  <c r="A61" i="284"/>
  <c r="A60" i="284"/>
  <c r="A59" i="284"/>
  <c r="A58" i="284"/>
  <c r="A57" i="284"/>
  <c r="A101" i="224"/>
  <c r="A100" i="224"/>
  <c r="A99" i="224"/>
  <c r="A98" i="224"/>
  <c r="A97" i="224"/>
  <c r="A96" i="224"/>
  <c r="A95" i="224"/>
  <c r="A94" i="224"/>
  <c r="A93" i="224"/>
  <c r="A92" i="224"/>
  <c r="A91" i="224"/>
  <c r="A90" i="224"/>
  <c r="A101" i="164"/>
  <c r="A100" i="164"/>
  <c r="A99" i="164"/>
  <c r="A98" i="164"/>
  <c r="A97" i="164"/>
  <c r="A96" i="164"/>
  <c r="A95" i="164"/>
  <c r="A94" i="164"/>
  <c r="A93" i="164"/>
  <c r="A92" i="164"/>
  <c r="A91" i="164"/>
  <c r="A90" i="164"/>
  <c r="A101" i="201"/>
  <c r="A100" i="201"/>
  <c r="A99" i="201"/>
  <c r="A98" i="201"/>
  <c r="A97" i="201"/>
  <c r="A96" i="201"/>
  <c r="A95" i="201"/>
  <c r="A94" i="201"/>
  <c r="A93" i="201"/>
  <c r="A92" i="201"/>
  <c r="A91" i="201"/>
  <c r="A90" i="201"/>
  <c r="A101" i="200"/>
  <c r="A100" i="200"/>
  <c r="A99" i="200"/>
  <c r="A98" i="200"/>
  <c r="A97" i="200"/>
  <c r="A96" i="200"/>
  <c r="A95" i="200"/>
  <c r="A94" i="200"/>
  <c r="A93" i="200"/>
  <c r="A92" i="200"/>
  <c r="A91" i="200"/>
  <c r="A90" i="200"/>
  <c r="A61" i="283"/>
  <c r="A60" i="283"/>
  <c r="A59" i="283"/>
  <c r="A58" i="283"/>
  <c r="A57" i="283"/>
  <c r="A56" i="283"/>
  <c r="A55" i="283"/>
  <c r="A54" i="283"/>
  <c r="A52" i="283"/>
  <c r="A51" i="283"/>
  <c r="A50" i="283"/>
  <c r="A49" i="283"/>
  <c r="A96" i="250"/>
  <c r="A95" i="250"/>
  <c r="A94" i="250"/>
  <c r="A93" i="250"/>
  <c r="A92" i="250"/>
  <c r="A91" i="250"/>
  <c r="A90" i="250"/>
  <c r="A89" i="250"/>
  <c r="A88" i="250"/>
  <c r="A87" i="250"/>
  <c r="A86" i="250"/>
  <c r="A85" i="250"/>
  <c r="A84" i="250"/>
  <c r="A64" i="282"/>
  <c r="A63" i="282"/>
  <c r="A62" i="282"/>
  <c r="A61" i="282"/>
  <c r="A60" i="282"/>
  <c r="A59" i="282"/>
  <c r="A58" i="282"/>
  <c r="A57" i="282"/>
  <c r="A56" i="282"/>
  <c r="A55" i="282"/>
  <c r="A54" i="282"/>
  <c r="A53" i="282"/>
  <c r="A101" i="23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J174" i="285"/>
  <c r="J304" i="285" s="1"/>
  <c r="H174" i="285"/>
  <c r="H304" i="285" s="1"/>
  <c r="G174" i="285"/>
  <c r="G304" i="285" s="1"/>
  <c r="F174" i="285"/>
  <c r="F304" i="285" s="1"/>
  <c r="E174" i="285"/>
  <c r="E304" i="285" s="1"/>
  <c r="D174" i="285"/>
  <c r="D304" i="285" s="1"/>
  <c r="C174" i="285"/>
  <c r="C304" i="285" s="1"/>
  <c r="J173" i="285"/>
  <c r="J303" i="285" s="1"/>
  <c r="H173" i="285"/>
  <c r="H303" i="285" s="1"/>
  <c r="G173" i="285"/>
  <c r="G303" i="285" s="1"/>
  <c r="F173" i="285"/>
  <c r="F303" i="285" s="1"/>
  <c r="E173" i="285"/>
  <c r="E303" i="285" s="1"/>
  <c r="D173" i="285"/>
  <c r="D303" i="285" s="1"/>
  <c r="C173" i="285"/>
  <c r="C303" i="285" s="1"/>
  <c r="J172" i="285"/>
  <c r="J302" i="285" s="1"/>
  <c r="H172" i="285"/>
  <c r="H302" i="285" s="1"/>
  <c r="G172" i="285"/>
  <c r="G302" i="285" s="1"/>
  <c r="F172" i="285"/>
  <c r="F302" i="285" s="1"/>
  <c r="E172" i="285"/>
  <c r="E302" i="285" s="1"/>
  <c r="D172" i="285"/>
  <c r="D302" i="285" s="1"/>
  <c r="C172" i="285"/>
  <c r="C302" i="285" s="1"/>
  <c r="J171" i="285"/>
  <c r="J301" i="285" s="1"/>
  <c r="H171" i="285"/>
  <c r="H301" i="285" s="1"/>
  <c r="G171" i="285"/>
  <c r="G301" i="285" s="1"/>
  <c r="F171" i="285"/>
  <c r="F301" i="285" s="1"/>
  <c r="E171" i="285"/>
  <c r="E301" i="285" s="1"/>
  <c r="D171" i="285"/>
  <c r="D301" i="285" s="1"/>
  <c r="C171" i="285"/>
  <c r="C301" i="285" s="1"/>
  <c r="J170" i="285"/>
  <c r="J300" i="285" s="1"/>
  <c r="H170" i="285"/>
  <c r="H300" i="285" s="1"/>
  <c r="G170" i="285"/>
  <c r="G300" i="285" s="1"/>
  <c r="F170" i="285"/>
  <c r="F300" i="285" s="1"/>
  <c r="E170" i="285"/>
  <c r="D170" i="285"/>
  <c r="D300" i="285" s="1"/>
  <c r="C170" i="285"/>
  <c r="C300" i="285" s="1"/>
  <c r="J169" i="285"/>
  <c r="J299" i="285" s="1"/>
  <c r="H169" i="285"/>
  <c r="H299" i="285" s="1"/>
  <c r="G169" i="285"/>
  <c r="G299" i="285" s="1"/>
  <c r="F169" i="285"/>
  <c r="F299" i="285" s="1"/>
  <c r="E169" i="285"/>
  <c r="E299" i="285" s="1"/>
  <c r="D169" i="285"/>
  <c r="D299" i="285" s="1"/>
  <c r="C169" i="285"/>
  <c r="C299" i="285" s="1"/>
  <c r="J168" i="285"/>
  <c r="J298" i="285" s="1"/>
  <c r="H168" i="285"/>
  <c r="H298" i="285" s="1"/>
  <c r="G168" i="285"/>
  <c r="G298" i="285" s="1"/>
  <c r="F168" i="285"/>
  <c r="F298" i="285" s="1"/>
  <c r="E168" i="285"/>
  <c r="E298" i="285" s="1"/>
  <c r="D168" i="285"/>
  <c r="D298" i="285" s="1"/>
  <c r="C168" i="285"/>
  <c r="C298" i="285" s="1"/>
  <c r="J167" i="285"/>
  <c r="J297" i="285" s="1"/>
  <c r="H167" i="285"/>
  <c r="H297" i="285" s="1"/>
  <c r="G167" i="285"/>
  <c r="G297" i="285" s="1"/>
  <c r="F167" i="285"/>
  <c r="F297" i="285" s="1"/>
  <c r="E167" i="285"/>
  <c r="E297" i="285" s="1"/>
  <c r="D167" i="285"/>
  <c r="D297" i="285" s="1"/>
  <c r="C167" i="285"/>
  <c r="C297" i="285" s="1"/>
  <c r="J166" i="285"/>
  <c r="J296" i="285" s="1"/>
  <c r="H166" i="285"/>
  <c r="H296" i="285" s="1"/>
  <c r="G166" i="285"/>
  <c r="G296" i="285" s="1"/>
  <c r="F166" i="285"/>
  <c r="F296" i="285" s="1"/>
  <c r="E166" i="285"/>
  <c r="D166" i="285"/>
  <c r="D296" i="285" s="1"/>
  <c r="C166" i="285"/>
  <c r="C296" i="285" s="1"/>
  <c r="J165" i="285"/>
  <c r="J295" i="285" s="1"/>
  <c r="H165" i="285"/>
  <c r="H295" i="285" s="1"/>
  <c r="G165" i="285"/>
  <c r="G295" i="285" s="1"/>
  <c r="F165" i="285"/>
  <c r="F295" i="285" s="1"/>
  <c r="E165" i="285"/>
  <c r="E295" i="285" s="1"/>
  <c r="D165" i="285"/>
  <c r="D295" i="285" s="1"/>
  <c r="C165" i="285"/>
  <c r="C295" i="285" s="1"/>
  <c r="J164" i="285"/>
  <c r="J294" i="285" s="1"/>
  <c r="H164" i="285"/>
  <c r="H294" i="285" s="1"/>
  <c r="G164" i="285"/>
  <c r="G294" i="285" s="1"/>
  <c r="F164" i="285"/>
  <c r="F294" i="285" s="1"/>
  <c r="E164" i="285"/>
  <c r="E294" i="285" s="1"/>
  <c r="D164" i="285"/>
  <c r="D294" i="285" s="1"/>
  <c r="C294" i="285"/>
  <c r="J293" i="285"/>
  <c r="H293" i="285"/>
  <c r="G293" i="285"/>
  <c r="M163" i="285"/>
  <c r="E293" i="285"/>
  <c r="D293" i="285"/>
  <c r="C150" i="285"/>
  <c r="J161" i="285"/>
  <c r="H161" i="285"/>
  <c r="G161" i="285"/>
  <c r="F161" i="285"/>
  <c r="E161" i="285"/>
  <c r="D161" i="285"/>
  <c r="C161" i="285"/>
  <c r="M41" i="285"/>
  <c r="M40" i="285"/>
  <c r="M39" i="285"/>
  <c r="M38" i="285"/>
  <c r="M37" i="285"/>
  <c r="M36" i="285"/>
  <c r="M35" i="285"/>
  <c r="M34" i="285"/>
  <c r="M33" i="285"/>
  <c r="M32" i="285"/>
  <c r="M31" i="285"/>
  <c r="M30" i="285"/>
  <c r="N88" i="3"/>
  <c r="H88" i="3"/>
  <c r="E88" i="3"/>
  <c r="A88" i="3"/>
  <c r="N87" i="3"/>
  <c r="H87" i="3"/>
  <c r="E87" i="3"/>
  <c r="A87" i="3"/>
  <c r="N86" i="3"/>
  <c r="H86" i="3"/>
  <c r="E86" i="3"/>
  <c r="A86" i="3"/>
  <c r="N85" i="3"/>
  <c r="H85" i="3"/>
  <c r="E85" i="3"/>
  <c r="A85" i="3"/>
  <c r="N84" i="3"/>
  <c r="H84" i="3"/>
  <c r="E84" i="3"/>
  <c r="A84" i="3"/>
  <c r="N83" i="3"/>
  <c r="H83" i="3"/>
  <c r="E83" i="3"/>
  <c r="A83" i="3"/>
  <c r="A82" i="3"/>
  <c r="N81" i="3"/>
  <c r="H81" i="3"/>
  <c r="E81" i="3"/>
  <c r="A81" i="3"/>
  <c r="N80" i="3"/>
  <c r="H80" i="3"/>
  <c r="E80" i="3"/>
  <c r="A80" i="3"/>
  <c r="N79" i="3"/>
  <c r="H79" i="3"/>
  <c r="E79" i="3"/>
  <c r="A79" i="3"/>
  <c r="N78" i="3"/>
  <c r="H78" i="3"/>
  <c r="E78" i="3"/>
  <c r="A78" i="3"/>
  <c r="N77" i="3"/>
  <c r="H77" i="3"/>
  <c r="E77" i="3"/>
  <c r="A77" i="3"/>
  <c r="M303" i="285" l="1"/>
  <c r="I83" i="3"/>
  <c r="I84" i="3"/>
  <c r="I85" i="3"/>
  <c r="I86" i="3"/>
  <c r="I88" i="3"/>
  <c r="I80" i="3"/>
  <c r="K80" i="3" s="1"/>
  <c r="O80" i="3" s="1"/>
  <c r="I78" i="3"/>
  <c r="C58" i="284" s="1"/>
  <c r="E58" i="284" s="1"/>
  <c r="M165" i="285"/>
  <c r="C42" i="286" s="1"/>
  <c r="M168" i="285"/>
  <c r="C45" i="286" s="1"/>
  <c r="M166" i="285"/>
  <c r="C43" i="286" s="1"/>
  <c r="F293" i="285"/>
  <c r="M293" i="285" s="1"/>
  <c r="I77" i="3"/>
  <c r="K77" i="3" s="1"/>
  <c r="O77" i="3" s="1"/>
  <c r="M297" i="285"/>
  <c r="E44" i="286" s="1"/>
  <c r="M294" i="285"/>
  <c r="E41" i="286" s="1"/>
  <c r="M298" i="285"/>
  <c r="E45" i="286" s="1"/>
  <c r="M295" i="285"/>
  <c r="E42" i="286" s="1"/>
  <c r="M162" i="285"/>
  <c r="C40" i="286" s="1"/>
  <c r="I87" i="3"/>
  <c r="M164" i="285"/>
  <c r="C41" i="286" s="1"/>
  <c r="M167" i="285"/>
  <c r="C44" i="286" s="1"/>
  <c r="I79" i="3"/>
  <c r="I81" i="3"/>
  <c r="E296" i="285"/>
  <c r="M296" i="285" s="1"/>
  <c r="E43" i="286" s="1"/>
  <c r="M299" i="285"/>
  <c r="E46" i="286" s="1"/>
  <c r="E50" i="286"/>
  <c r="M170" i="285"/>
  <c r="C47" i="286" s="1"/>
  <c r="M302" i="285"/>
  <c r="E49" i="286" s="1"/>
  <c r="M171" i="285"/>
  <c r="C48" i="286" s="1"/>
  <c r="M174" i="285"/>
  <c r="C51" i="286" s="1"/>
  <c r="M304" i="285"/>
  <c r="E51" i="286" s="1"/>
  <c r="M172" i="285"/>
  <c r="C49" i="286" s="1"/>
  <c r="M301" i="285"/>
  <c r="E48" i="286" s="1"/>
  <c r="M169" i="285"/>
  <c r="C46" i="286" s="1"/>
  <c r="M173" i="285"/>
  <c r="C50" i="286" s="1"/>
  <c r="E300" i="285"/>
  <c r="M161" i="285"/>
  <c r="C38" i="286" s="1"/>
  <c r="D87" i="231"/>
  <c r="G88" i="230"/>
  <c r="K85" i="3" l="1"/>
  <c r="O85" i="3" s="1"/>
  <c r="M300" i="285"/>
  <c r="E47" i="286" s="1"/>
  <c r="K84" i="3"/>
  <c r="O84" i="3" s="1"/>
  <c r="C63" i="284"/>
  <c r="E63" i="284" s="1"/>
  <c r="C64" i="284"/>
  <c r="E64" i="284" s="1"/>
  <c r="K86" i="3"/>
  <c r="O86" i="3" s="1"/>
  <c r="C66" i="284"/>
  <c r="E66" i="284" s="1"/>
  <c r="C65" i="284"/>
  <c r="E65" i="284" s="1"/>
  <c r="C68" i="284"/>
  <c r="E68" i="284" s="1"/>
  <c r="C60" i="284"/>
  <c r="E60" i="284" s="1"/>
  <c r="K88" i="3"/>
  <c r="O88" i="3" s="1"/>
  <c r="K78" i="3"/>
  <c r="O78" i="3" s="1"/>
  <c r="K83" i="3"/>
  <c r="O83" i="3" s="1"/>
  <c r="E40" i="286"/>
  <c r="K81" i="3"/>
  <c r="O81" i="3" s="1"/>
  <c r="C61" i="284"/>
  <c r="E61" i="284" s="1"/>
  <c r="K79" i="3"/>
  <c r="O79" i="3" s="1"/>
  <c r="C59" i="284"/>
  <c r="E59" i="284" s="1"/>
  <c r="C62" i="284"/>
  <c r="E62" i="284" s="1"/>
  <c r="K87" i="3"/>
  <c r="O87" i="3" s="1"/>
  <c r="C67" i="284"/>
  <c r="E67" i="284" s="1"/>
  <c r="D82" i="250"/>
  <c r="H28" i="285"/>
  <c r="R75" i="3"/>
  <c r="Q75" i="3"/>
  <c r="M75" i="3"/>
  <c r="J75" i="3"/>
  <c r="G75" i="3"/>
  <c r="F75" i="3"/>
  <c r="C75" i="3"/>
  <c r="D46" i="283" l="1"/>
  <c r="D86" i="231"/>
  <c r="D87" i="230"/>
  <c r="G87" i="230"/>
  <c r="D81" i="250" l="1"/>
  <c r="H27" i="285"/>
  <c r="M74" i="3"/>
  <c r="J74" i="3"/>
  <c r="G74" i="3"/>
  <c r="F74" i="3"/>
  <c r="C74" i="3"/>
  <c r="R74" i="3"/>
  <c r="Q74" i="3"/>
  <c r="N74" i="3" l="1"/>
  <c r="D45" i="283" l="1"/>
  <c r="D85" i="231"/>
  <c r="G86" i="230"/>
  <c r="D80" i="250" l="1"/>
  <c r="D79" i="250"/>
  <c r="H26" i="285"/>
  <c r="R73" i="3"/>
  <c r="Q73" i="3"/>
  <c r="M73" i="3" l="1"/>
  <c r="J73" i="3"/>
  <c r="G73" i="3" l="1"/>
  <c r="F73" i="3"/>
  <c r="C73" i="3"/>
  <c r="D84" i="231" l="1"/>
  <c r="G85" i="230"/>
  <c r="H25" i="285" l="1"/>
  <c r="R72" i="3"/>
  <c r="Q72" i="3"/>
  <c r="M72" i="3"/>
  <c r="J72" i="3"/>
  <c r="G72" i="3"/>
  <c r="F72" i="3"/>
  <c r="D72" i="3"/>
  <c r="C72" i="3"/>
  <c r="D83" i="231" l="1"/>
  <c r="G84" i="230"/>
  <c r="D78" i="250" l="1"/>
  <c r="R71" i="3"/>
  <c r="Q71" i="3"/>
  <c r="H24" i="285" l="1"/>
  <c r="M71" i="3"/>
  <c r="J71" i="3"/>
  <c r="G71" i="3"/>
  <c r="F71" i="3"/>
  <c r="C71" i="3"/>
  <c r="A47" i="290" l="1"/>
  <c r="A48" i="290"/>
  <c r="A49" i="290"/>
  <c r="A50" i="290"/>
  <c r="A51" i="290"/>
  <c r="A52" i="290"/>
  <c r="A53" i="290"/>
  <c r="A54" i="290"/>
  <c r="A55" i="290"/>
  <c r="A56" i="290"/>
  <c r="A57" i="290"/>
  <c r="A46" i="290"/>
  <c r="A34" i="290"/>
  <c r="A35" i="290"/>
  <c r="A36" i="290"/>
  <c r="A37" i="290"/>
  <c r="A38" i="290"/>
  <c r="A39" i="290"/>
  <c r="A40" i="290"/>
  <c r="A41" i="290"/>
  <c r="A42" i="290"/>
  <c r="A43" i="290"/>
  <c r="A44" i="290"/>
  <c r="A33" i="290"/>
  <c r="A19" i="290"/>
  <c r="A20" i="290"/>
  <c r="A21" i="290"/>
  <c r="A22" i="290"/>
  <c r="A23" i="290"/>
  <c r="A24" i="290"/>
  <c r="A25" i="290"/>
  <c r="A26" i="290"/>
  <c r="A27" i="290"/>
  <c r="A28" i="290"/>
  <c r="A29" i="290"/>
  <c r="A30" i="290"/>
  <c r="A31" i="290"/>
  <c r="A18" i="290"/>
  <c r="D82" i="231"/>
  <c r="G83" i="230"/>
  <c r="H23" i="285" l="1"/>
  <c r="R70" i="3"/>
  <c r="Q70" i="3"/>
  <c r="Q69" i="3"/>
  <c r="M70" i="3"/>
  <c r="J70" i="3"/>
  <c r="G70" i="3"/>
  <c r="F70" i="3"/>
  <c r="C70" i="3"/>
  <c r="D77" i="250" l="1"/>
  <c r="H17" i="290" l="1"/>
  <c r="E18" i="290"/>
  <c r="E33" i="290"/>
  <c r="E46" i="290" l="1"/>
  <c r="D81" i="231"/>
  <c r="D76" i="250" l="1"/>
  <c r="H22" i="285" l="1"/>
  <c r="M69" i="3"/>
  <c r="J69" i="3"/>
  <c r="G69" i="3"/>
  <c r="C69" i="3"/>
  <c r="R69" i="3"/>
  <c r="D80" i="231" l="1"/>
  <c r="G80" i="230"/>
  <c r="D75" i="250" l="1"/>
  <c r="R68" i="3"/>
  <c r="Q68" i="3"/>
  <c r="H21" i="285"/>
  <c r="M68" i="3"/>
  <c r="J68" i="3"/>
  <c r="C68" i="3"/>
  <c r="G68" i="3"/>
  <c r="F68" i="3"/>
  <c r="D70" i="250" l="1"/>
  <c r="D74" i="250"/>
  <c r="D68" i="250"/>
  <c r="D67" i="250"/>
  <c r="D66" i="250"/>
  <c r="D65" i="250"/>
  <c r="D64" i="250"/>
  <c r="D63" i="250"/>
  <c r="D79" i="231" l="1"/>
  <c r="H20" i="285" l="1"/>
  <c r="M67" i="3"/>
  <c r="J67" i="3"/>
  <c r="R67" i="3"/>
  <c r="Q67" i="3"/>
  <c r="G67" i="3"/>
  <c r="F67" i="3"/>
  <c r="C67" i="3"/>
  <c r="D78" i="164" l="1"/>
  <c r="D41" i="282"/>
  <c r="D78" i="231" l="1"/>
  <c r="D78" i="230"/>
  <c r="R66" i="3" l="1"/>
  <c r="Q66" i="3"/>
  <c r="G78" i="230" l="1"/>
  <c r="D73" i="250" l="1"/>
  <c r="A73" i="250"/>
  <c r="A74" i="250"/>
  <c r="A75" i="250"/>
  <c r="A76" i="250"/>
  <c r="A77" i="250"/>
  <c r="A78" i="250"/>
  <c r="A79" i="250"/>
  <c r="A80" i="250"/>
  <c r="A81" i="250"/>
  <c r="A82" i="250"/>
  <c r="A83" i="250"/>
  <c r="H19" i="285"/>
  <c r="M66" i="3"/>
  <c r="J66" i="3"/>
  <c r="G66" i="3"/>
  <c r="F66" i="3"/>
  <c r="C66" i="3"/>
  <c r="D77" i="231" l="1"/>
  <c r="D72" i="250"/>
  <c r="C151" i="285" l="1"/>
  <c r="D151" i="285"/>
  <c r="E151" i="285"/>
  <c r="F151" i="285"/>
  <c r="G151" i="285"/>
  <c r="H151" i="285"/>
  <c r="C152" i="285"/>
  <c r="D152" i="285"/>
  <c r="E152" i="285"/>
  <c r="F152" i="285"/>
  <c r="G152" i="285"/>
  <c r="H152" i="285"/>
  <c r="C153" i="285"/>
  <c r="D153" i="285"/>
  <c r="E153" i="285"/>
  <c r="F153" i="285"/>
  <c r="G153" i="285"/>
  <c r="H153" i="285"/>
  <c r="C154" i="285"/>
  <c r="D154" i="285"/>
  <c r="E154" i="285"/>
  <c r="F154" i="285"/>
  <c r="G154" i="285"/>
  <c r="H154" i="285"/>
  <c r="C155" i="285"/>
  <c r="D155" i="285"/>
  <c r="E155" i="285"/>
  <c r="F155" i="285"/>
  <c r="G155" i="285"/>
  <c r="H155" i="285"/>
  <c r="C156" i="285"/>
  <c r="D156" i="285"/>
  <c r="E156" i="285"/>
  <c r="F156" i="285"/>
  <c r="G156" i="285"/>
  <c r="H156" i="285"/>
  <c r="N43" i="284"/>
  <c r="M43" i="284"/>
  <c r="L43" i="284"/>
  <c r="N42" i="284"/>
  <c r="J150" i="285"/>
  <c r="G150" i="285"/>
  <c r="F150" i="285"/>
  <c r="E150" i="285"/>
  <c r="D150" i="285"/>
  <c r="J149" i="285"/>
  <c r="F149" i="285"/>
  <c r="C149" i="285"/>
  <c r="D149" i="285"/>
  <c r="D279" i="285" s="1"/>
  <c r="H18" i="285"/>
  <c r="H150" i="285" s="1"/>
  <c r="H17" i="285"/>
  <c r="H149" i="285" s="1"/>
  <c r="G17" i="285"/>
  <c r="G149" i="285" s="1"/>
  <c r="E17" i="285"/>
  <c r="E149" i="285" s="1"/>
  <c r="M65" i="3"/>
  <c r="J65" i="3"/>
  <c r="R65" i="3"/>
  <c r="Q65" i="3"/>
  <c r="G65" i="3"/>
  <c r="F65" i="3"/>
  <c r="C65" i="3"/>
  <c r="A38" i="286" l="1"/>
  <c r="A29" i="286"/>
  <c r="A30" i="286"/>
  <c r="A31" i="286"/>
  <c r="A32" i="286"/>
  <c r="A33" i="286"/>
  <c r="A34" i="286"/>
  <c r="A35" i="286"/>
  <c r="A36" i="286"/>
  <c r="A37" i="286"/>
  <c r="A45" i="284"/>
  <c r="A46" i="284"/>
  <c r="A47" i="284"/>
  <c r="A48" i="284"/>
  <c r="A49" i="284"/>
  <c r="A50" i="284"/>
  <c r="A51" i="284"/>
  <c r="A52" i="284"/>
  <c r="A53" i="284"/>
  <c r="A54" i="284"/>
  <c r="A55" i="284"/>
  <c r="A44" i="284"/>
  <c r="O44" i="284"/>
  <c r="L44" i="284"/>
  <c r="K44" i="284"/>
  <c r="M44" i="284"/>
  <c r="P42" i="284"/>
  <c r="N44" i="284"/>
  <c r="P43" i="284" l="1"/>
  <c r="P44" i="284" s="1"/>
  <c r="A88" i="224"/>
  <c r="A87" i="224"/>
  <c r="A86" i="224"/>
  <c r="A85" i="224"/>
  <c r="A84" i="224"/>
  <c r="A83" i="224"/>
  <c r="A82" i="224"/>
  <c r="A81" i="224"/>
  <c r="A80" i="224"/>
  <c r="A79" i="224"/>
  <c r="A78" i="224"/>
  <c r="A77" i="224"/>
  <c r="A88" i="164"/>
  <c r="A87" i="164"/>
  <c r="A86" i="164"/>
  <c r="A85" i="164"/>
  <c r="A84" i="164"/>
  <c r="A83" i="164"/>
  <c r="A82" i="164"/>
  <c r="A81" i="164"/>
  <c r="A80" i="164"/>
  <c r="A79" i="164"/>
  <c r="A78" i="164"/>
  <c r="A77" i="164"/>
  <c r="A88" i="201"/>
  <c r="A87" i="201"/>
  <c r="A86" i="201"/>
  <c r="A85" i="201"/>
  <c r="A84" i="201"/>
  <c r="A83" i="201"/>
  <c r="A82" i="201"/>
  <c r="A81" i="201"/>
  <c r="A80" i="201"/>
  <c r="A79" i="201"/>
  <c r="A78" i="201"/>
  <c r="A77" i="201"/>
  <c r="A88" i="200"/>
  <c r="A87" i="200"/>
  <c r="A86" i="200"/>
  <c r="A85" i="200"/>
  <c r="A84" i="200"/>
  <c r="A83" i="200"/>
  <c r="A82" i="200"/>
  <c r="A81" i="200"/>
  <c r="A80" i="200"/>
  <c r="A79" i="200"/>
  <c r="A78" i="200"/>
  <c r="A77" i="200"/>
  <c r="A48" i="283"/>
  <c r="A47" i="283"/>
  <c r="A37" i="283"/>
  <c r="A38" i="283"/>
  <c r="A39" i="283"/>
  <c r="A40" i="283"/>
  <c r="A41" i="283"/>
  <c r="A42" i="283"/>
  <c r="A43" i="283"/>
  <c r="A44" i="283"/>
  <c r="A45" i="283"/>
  <c r="A46" i="283"/>
  <c r="A51" i="282"/>
  <c r="A50" i="282"/>
  <c r="A49" i="282"/>
  <c r="A48" i="282"/>
  <c r="A47" i="282"/>
  <c r="A46" i="282"/>
  <c r="A45" i="282"/>
  <c r="A44" i="282"/>
  <c r="A43" i="282"/>
  <c r="A42" i="282"/>
  <c r="A41" i="282"/>
  <c r="A40" i="282"/>
  <c r="A88" i="23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E44" i="284" l="1"/>
  <c r="H280" i="285"/>
  <c r="F280" i="285"/>
  <c r="D280" i="285"/>
  <c r="G279" i="285"/>
  <c r="J280" i="285"/>
  <c r="G280" i="285"/>
  <c r="E280" i="285"/>
  <c r="C280" i="285"/>
  <c r="J279" i="285"/>
  <c r="H279" i="285"/>
  <c r="F279" i="285"/>
  <c r="E279" i="285"/>
  <c r="C279" i="285"/>
  <c r="D136" i="285"/>
  <c r="M95" i="285"/>
  <c r="M94" i="285"/>
  <c r="M93" i="285"/>
  <c r="M92" i="285"/>
  <c r="M91" i="285"/>
  <c r="M90" i="285"/>
  <c r="M89" i="285"/>
  <c r="M88" i="285"/>
  <c r="M87" i="285"/>
  <c r="M86" i="285"/>
  <c r="M85" i="285"/>
  <c r="M29" i="285"/>
  <c r="M28" i="285"/>
  <c r="M27" i="285"/>
  <c r="M26" i="285"/>
  <c r="M25" i="285"/>
  <c r="M24" i="285"/>
  <c r="M23" i="285"/>
  <c r="M22" i="285"/>
  <c r="M21" i="285"/>
  <c r="M20" i="285"/>
  <c r="M19" i="285"/>
  <c r="M18" i="285"/>
  <c r="M17" i="285"/>
  <c r="F286" i="285"/>
  <c r="D284" i="285"/>
  <c r="C283" i="285"/>
  <c r="J291" i="285"/>
  <c r="H291" i="285"/>
  <c r="G291" i="285"/>
  <c r="F291" i="285"/>
  <c r="E291" i="285"/>
  <c r="C291" i="285"/>
  <c r="J160" i="285"/>
  <c r="J290" i="285" s="1"/>
  <c r="H160" i="285"/>
  <c r="H290" i="285" s="1"/>
  <c r="G160" i="285"/>
  <c r="G290" i="285" s="1"/>
  <c r="F160" i="285"/>
  <c r="F290" i="285" s="1"/>
  <c r="E160" i="285"/>
  <c r="E290" i="285" s="1"/>
  <c r="D160" i="285"/>
  <c r="D290" i="285" s="1"/>
  <c r="C160" i="285"/>
  <c r="C290" i="285" s="1"/>
  <c r="J159" i="285"/>
  <c r="J289" i="285" s="1"/>
  <c r="H159" i="285"/>
  <c r="H289" i="285" s="1"/>
  <c r="G159" i="285"/>
  <c r="G289" i="285" s="1"/>
  <c r="F159" i="285"/>
  <c r="F289" i="285" s="1"/>
  <c r="E159" i="285"/>
  <c r="E289" i="285" s="1"/>
  <c r="D159" i="285"/>
  <c r="D289" i="285" s="1"/>
  <c r="C159" i="285"/>
  <c r="C289" i="285" s="1"/>
  <c r="J158" i="285"/>
  <c r="J288" i="285" s="1"/>
  <c r="H158" i="285"/>
  <c r="H288" i="285" s="1"/>
  <c r="G158" i="285"/>
  <c r="G288" i="285" s="1"/>
  <c r="F158" i="285"/>
  <c r="F288" i="285" s="1"/>
  <c r="E158" i="285"/>
  <c r="E288" i="285" s="1"/>
  <c r="D158" i="285"/>
  <c r="D288" i="285" s="1"/>
  <c r="C158" i="285"/>
  <c r="C288" i="285" s="1"/>
  <c r="J157" i="285"/>
  <c r="J287" i="285" s="1"/>
  <c r="H157" i="285"/>
  <c r="H287" i="285" s="1"/>
  <c r="G157" i="285"/>
  <c r="G287" i="285" s="1"/>
  <c r="F157" i="285"/>
  <c r="F287" i="285" s="1"/>
  <c r="E157" i="285"/>
  <c r="E287" i="285" s="1"/>
  <c r="D157" i="285"/>
  <c r="C157" i="285"/>
  <c r="C287" i="285" s="1"/>
  <c r="J156" i="285"/>
  <c r="J286" i="285" s="1"/>
  <c r="H286" i="285"/>
  <c r="G286" i="285"/>
  <c r="E286" i="285"/>
  <c r="D286" i="285"/>
  <c r="C286" i="285"/>
  <c r="J155" i="285"/>
  <c r="J285" i="285" s="1"/>
  <c r="H285" i="285"/>
  <c r="G285" i="285"/>
  <c r="F285" i="285"/>
  <c r="E285" i="285"/>
  <c r="D285" i="285"/>
  <c r="C285" i="285"/>
  <c r="J154" i="285"/>
  <c r="J284" i="285" s="1"/>
  <c r="H284" i="285"/>
  <c r="G284" i="285"/>
  <c r="F284" i="285"/>
  <c r="C284" i="285"/>
  <c r="J153" i="285"/>
  <c r="J283" i="285" s="1"/>
  <c r="H283" i="285"/>
  <c r="G283" i="285"/>
  <c r="F283" i="285"/>
  <c r="E283" i="285"/>
  <c r="D283" i="285"/>
  <c r="J152" i="285"/>
  <c r="J282" i="285" s="1"/>
  <c r="H282" i="285"/>
  <c r="G282" i="285"/>
  <c r="F282" i="285"/>
  <c r="E282" i="285"/>
  <c r="D282" i="285"/>
  <c r="C282" i="285"/>
  <c r="J151" i="285"/>
  <c r="J281" i="285" s="1"/>
  <c r="H281" i="285"/>
  <c r="G281" i="285"/>
  <c r="F281" i="285"/>
  <c r="E281" i="285"/>
  <c r="D281" i="285"/>
  <c r="C281" i="285"/>
  <c r="N76" i="3"/>
  <c r="N75" i="3"/>
  <c r="N73" i="3"/>
  <c r="N72" i="3"/>
  <c r="N71" i="3"/>
  <c r="N70" i="3"/>
  <c r="N69" i="3"/>
  <c r="N68" i="3"/>
  <c r="N67" i="3"/>
  <c r="N66" i="3"/>
  <c r="N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C54" i="284" s="1"/>
  <c r="E54" i="284" s="1"/>
  <c r="M288" i="285"/>
  <c r="E35" i="286" s="1"/>
  <c r="I73" i="3"/>
  <c r="C54" i="290" s="1"/>
  <c r="E54" i="290" s="1"/>
  <c r="I71" i="3"/>
  <c r="I70" i="3"/>
  <c r="C51" i="290" s="1"/>
  <c r="E51" i="290" s="1"/>
  <c r="I69" i="3"/>
  <c r="C48" i="284" s="1"/>
  <c r="E48" i="284" s="1"/>
  <c r="M283" i="285"/>
  <c r="E30" i="286" s="1"/>
  <c r="I68" i="3"/>
  <c r="C49" i="290" s="1"/>
  <c r="E49" i="290" s="1"/>
  <c r="I72" i="3"/>
  <c r="I76" i="3"/>
  <c r="C55" i="284" s="1"/>
  <c r="E55" i="284" s="1"/>
  <c r="M154" i="285"/>
  <c r="C31" i="286" s="1"/>
  <c r="I67" i="3"/>
  <c r="C48" i="290" s="1"/>
  <c r="E48" i="290" s="1"/>
  <c r="I66" i="3"/>
  <c r="C47" i="290" s="1"/>
  <c r="E47" i="290" s="1"/>
  <c r="M279" i="285"/>
  <c r="M149" i="285"/>
  <c r="I65" i="3"/>
  <c r="C46" i="290" s="1"/>
  <c r="M157" i="285"/>
  <c r="C34" i="286" s="1"/>
  <c r="M150" i="285"/>
  <c r="E284" i="285"/>
  <c r="D287" i="285"/>
  <c r="M287" i="285" s="1"/>
  <c r="E34" i="286" s="1"/>
  <c r="D291" i="285"/>
  <c r="M291" i="285" s="1"/>
  <c r="E38" i="286" s="1"/>
  <c r="M158" i="285"/>
  <c r="C35" i="286" s="1"/>
  <c r="M153" i="285"/>
  <c r="C30" i="286" s="1"/>
  <c r="M282" i="285"/>
  <c r="E29" i="286" s="1"/>
  <c r="M286" i="285"/>
  <c r="E33" i="286" s="1"/>
  <c r="M290" i="285"/>
  <c r="E37" i="286" s="1"/>
  <c r="M281" i="285"/>
  <c r="E28" i="286" s="1"/>
  <c r="M285" i="285"/>
  <c r="E32" i="286" s="1"/>
  <c r="M289" i="285"/>
  <c r="E36" i="286" s="1"/>
  <c r="M280" i="285"/>
  <c r="M152" i="285"/>
  <c r="C29" i="286" s="1"/>
  <c r="M156" i="285"/>
  <c r="C33" i="286" s="1"/>
  <c r="M160" i="285"/>
  <c r="C37" i="286" s="1"/>
  <c r="M151" i="285"/>
  <c r="C28" i="286" s="1"/>
  <c r="M155" i="285"/>
  <c r="C32" i="286" s="1"/>
  <c r="M159" i="285"/>
  <c r="C36" i="286" s="1"/>
  <c r="D75" i="231"/>
  <c r="G75" i="230"/>
  <c r="C53" i="284" l="1"/>
  <c r="E53" i="284" s="1"/>
  <c r="K75" i="3"/>
  <c r="O75" i="3" s="1"/>
  <c r="C47" i="284"/>
  <c r="E47" i="284" s="1"/>
  <c r="K73" i="3"/>
  <c r="O73" i="3" s="1"/>
  <c r="K74" i="3"/>
  <c r="O74" i="3" s="1"/>
  <c r="K68" i="3"/>
  <c r="O68" i="3" s="1"/>
  <c r="C52" i="284"/>
  <c r="E52" i="284" s="1"/>
  <c r="C49" i="284"/>
  <c r="E49" i="284" s="1"/>
  <c r="C55" i="290"/>
  <c r="E55" i="290" s="1"/>
  <c r="C56" i="290"/>
  <c r="E56" i="290" s="1"/>
  <c r="M284" i="285"/>
  <c r="E31" i="286" s="1"/>
  <c r="C57" i="290"/>
  <c r="E57" i="290" s="1"/>
  <c r="K69" i="3"/>
  <c r="O69" i="3" s="1"/>
  <c r="C50" i="290"/>
  <c r="E50" i="290" s="1"/>
  <c r="C52" i="290"/>
  <c r="E52" i="290" s="1"/>
  <c r="K70" i="3"/>
  <c r="O70" i="3" s="1"/>
  <c r="C53" i="290"/>
  <c r="E53" i="290" s="1"/>
  <c r="K72" i="3"/>
  <c r="O72" i="3" s="1"/>
  <c r="C51" i="284"/>
  <c r="E51" i="284" s="1"/>
  <c r="K71" i="3"/>
  <c r="O71" i="3" s="1"/>
  <c r="C50" i="284"/>
  <c r="E50" i="284" s="1"/>
  <c r="C27" i="286"/>
  <c r="E27" i="286"/>
  <c r="C44" i="284"/>
  <c r="K76" i="3"/>
  <c r="O76" i="3" s="1"/>
  <c r="K67" i="3"/>
  <c r="O67" i="3" s="1"/>
  <c r="C46" i="284"/>
  <c r="E46" i="284" s="1"/>
  <c r="K66" i="3"/>
  <c r="O66" i="3" s="1"/>
  <c r="C45" i="284"/>
  <c r="E45" i="284" s="1"/>
  <c r="K65" i="3"/>
  <c r="O65" i="3" s="1"/>
  <c r="Q64" i="3"/>
  <c r="D71" i="250"/>
  <c r="H16" i="285"/>
  <c r="R64" i="3"/>
  <c r="J64" i="3"/>
  <c r="M64" i="3"/>
  <c r="F64" i="3"/>
  <c r="G64" i="3"/>
  <c r="C64" i="3"/>
  <c r="D74" i="164" l="1"/>
  <c r="D74" i="231"/>
  <c r="G74" i="230"/>
  <c r="H15" i="285" l="1"/>
  <c r="R63" i="3"/>
  <c r="Q63" i="3"/>
  <c r="M63" i="3"/>
  <c r="J63" i="3"/>
  <c r="G63" i="3"/>
  <c r="F63" i="3"/>
  <c r="C63" i="3"/>
  <c r="D71" i="164" l="1"/>
  <c r="D73" i="231" l="1"/>
  <c r="G73" i="230"/>
  <c r="D69" i="250" l="1"/>
  <c r="J14" i="285"/>
  <c r="J146" i="285" s="1"/>
  <c r="C14" i="285"/>
  <c r="H14" i="285"/>
  <c r="R62" i="3"/>
  <c r="Q62" i="3"/>
  <c r="M62" i="3"/>
  <c r="G62" i="3"/>
  <c r="J62" i="3"/>
  <c r="C62" i="3"/>
  <c r="F62" i="3"/>
  <c r="B62" i="3"/>
  <c r="G61" i="3" l="1"/>
  <c r="D72" i="231" l="1"/>
  <c r="D72" i="230"/>
  <c r="G72" i="230"/>
  <c r="H13" i="285" l="1"/>
  <c r="C61" i="3"/>
  <c r="R61" i="3"/>
  <c r="Q61" i="3"/>
  <c r="M61" i="3"/>
  <c r="J61" i="3"/>
  <c r="F61" i="3"/>
  <c r="D71" i="231" l="1"/>
  <c r="D71" i="230"/>
  <c r="G71" i="230"/>
  <c r="H12" i="285" l="1"/>
  <c r="R60" i="3" l="1"/>
  <c r="Q60" i="3"/>
  <c r="M60" i="3"/>
  <c r="J60" i="3"/>
  <c r="G60" i="3"/>
  <c r="F60" i="3"/>
  <c r="C60" i="3"/>
  <c r="D30" i="283" l="1"/>
  <c r="D70" i="231"/>
  <c r="G70" i="230"/>
  <c r="H11" i="285" l="1"/>
  <c r="J59" i="3"/>
  <c r="R59" i="3"/>
  <c r="Q59" i="3"/>
  <c r="M59" i="3"/>
  <c r="G59" i="3"/>
  <c r="F59" i="3"/>
  <c r="C59" i="3"/>
  <c r="D69" i="231" l="1"/>
  <c r="D69" i="164" l="1"/>
  <c r="G69" i="230"/>
  <c r="H10" i="285" l="1"/>
  <c r="B10" i="285"/>
  <c r="J58" i="3"/>
  <c r="M58" i="3"/>
  <c r="R58" i="3"/>
  <c r="Q58" i="3"/>
  <c r="G58" i="3"/>
  <c r="F58" i="3"/>
  <c r="C58" i="3"/>
  <c r="D68" i="231" l="1"/>
  <c r="H9" i="285" l="1"/>
  <c r="B9" i="285"/>
  <c r="M57" i="3"/>
  <c r="J57" i="3"/>
  <c r="G57" i="3"/>
  <c r="F57" i="3"/>
  <c r="C57" i="3"/>
  <c r="R57" i="3"/>
  <c r="Q57" i="3"/>
  <c r="D67" i="231" l="1"/>
  <c r="H8" i="285" l="1"/>
  <c r="C56" i="3"/>
  <c r="M56" i="3"/>
  <c r="J56" i="3"/>
  <c r="G56" i="3"/>
  <c r="F56" i="3"/>
  <c r="R56" i="3"/>
  <c r="Q56" i="3"/>
  <c r="D66" i="231" l="1"/>
  <c r="R55" i="3" l="1"/>
  <c r="Q55" i="3"/>
  <c r="H7" i="285"/>
  <c r="M55" i="3" l="1"/>
  <c r="J55" i="3"/>
  <c r="G55" i="3"/>
  <c r="F55" i="3"/>
  <c r="C55" i="3"/>
  <c r="D65" i="224" l="1"/>
  <c r="D65" i="164"/>
  <c r="D65" i="201"/>
  <c r="D65" i="200"/>
  <c r="D65" i="231"/>
  <c r="H6" i="285" l="1"/>
  <c r="C54" i="3"/>
  <c r="M54" i="3" l="1"/>
  <c r="J54" i="3"/>
  <c r="G54" i="3"/>
  <c r="F54" i="3"/>
  <c r="D64" i="224" l="1"/>
  <c r="D64" i="164" l="1"/>
  <c r="D64" i="201"/>
  <c r="D64" i="200"/>
  <c r="D64" i="231"/>
  <c r="G64" i="230"/>
  <c r="J148" i="285" l="1"/>
  <c r="J278" i="285" s="1"/>
  <c r="H148" i="285"/>
  <c r="H278" i="285" s="1"/>
  <c r="G148" i="285"/>
  <c r="G278" i="285" s="1"/>
  <c r="F148" i="285"/>
  <c r="F278" i="285" s="1"/>
  <c r="E148" i="285"/>
  <c r="E278" i="285" s="1"/>
  <c r="D148" i="285"/>
  <c r="D278" i="285" s="1"/>
  <c r="C148" i="285"/>
  <c r="C278" i="285" s="1"/>
  <c r="J147" i="285"/>
  <c r="J277" i="285" s="1"/>
  <c r="H147" i="285"/>
  <c r="H277" i="285" s="1"/>
  <c r="G147" i="285"/>
  <c r="G277" i="285" s="1"/>
  <c r="F147" i="285"/>
  <c r="F277" i="285" s="1"/>
  <c r="E147" i="285"/>
  <c r="E277" i="285" s="1"/>
  <c r="D147" i="285"/>
  <c r="D277" i="285" s="1"/>
  <c r="C147" i="285"/>
  <c r="C277" i="285" s="1"/>
  <c r="J276" i="285"/>
  <c r="H146" i="285"/>
  <c r="H276" i="285" s="1"/>
  <c r="G146" i="285"/>
  <c r="G276" i="285" s="1"/>
  <c r="F146" i="285"/>
  <c r="F276" i="285" s="1"/>
  <c r="E146" i="285"/>
  <c r="E276" i="285" s="1"/>
  <c r="D146" i="285"/>
  <c r="D276" i="285" s="1"/>
  <c r="C146" i="285"/>
  <c r="C276" i="285" s="1"/>
  <c r="K275" i="285"/>
  <c r="J145" i="285"/>
  <c r="J275" i="285" s="1"/>
  <c r="I145" i="285"/>
  <c r="I275" i="285" s="1"/>
  <c r="H145" i="285"/>
  <c r="H275" i="285" s="1"/>
  <c r="G145" i="285"/>
  <c r="G275" i="285" s="1"/>
  <c r="F145" i="285"/>
  <c r="F275" i="285" s="1"/>
  <c r="E145" i="285"/>
  <c r="E275" i="285" s="1"/>
  <c r="D145" i="285"/>
  <c r="D275" i="285" s="1"/>
  <c r="C145" i="285"/>
  <c r="C275" i="285" s="1"/>
  <c r="B145" i="285"/>
  <c r="B275" i="285" s="1"/>
  <c r="K144" i="285"/>
  <c r="K274" i="285" s="1"/>
  <c r="J144" i="285"/>
  <c r="J274" i="285" s="1"/>
  <c r="I144" i="285"/>
  <c r="I274" i="285" s="1"/>
  <c r="H144" i="285"/>
  <c r="H274" i="285" s="1"/>
  <c r="G144" i="285"/>
  <c r="G274" i="285" s="1"/>
  <c r="F144" i="285"/>
  <c r="F274" i="285" s="1"/>
  <c r="E144" i="285"/>
  <c r="E274" i="285" s="1"/>
  <c r="D144" i="285"/>
  <c r="D274" i="285" s="1"/>
  <c r="C144" i="285"/>
  <c r="C274" i="285" s="1"/>
  <c r="B144" i="285"/>
  <c r="B274" i="285" s="1"/>
  <c r="K143" i="285"/>
  <c r="K273" i="285" s="1"/>
  <c r="J143" i="285"/>
  <c r="J273" i="285" s="1"/>
  <c r="I143" i="285"/>
  <c r="I273" i="285" s="1"/>
  <c r="H143" i="285"/>
  <c r="H273" i="285" s="1"/>
  <c r="G143" i="285"/>
  <c r="G273" i="285" s="1"/>
  <c r="F143" i="285"/>
  <c r="F273" i="285" s="1"/>
  <c r="E143" i="285"/>
  <c r="E273" i="285" s="1"/>
  <c r="D143" i="285"/>
  <c r="D273" i="285" s="1"/>
  <c r="C143" i="285"/>
  <c r="C273" i="285" s="1"/>
  <c r="B143" i="285"/>
  <c r="B273" i="285" s="1"/>
  <c r="K142" i="285"/>
  <c r="K272" i="285" s="1"/>
  <c r="J142" i="285"/>
  <c r="J272" i="285" s="1"/>
  <c r="I142" i="285"/>
  <c r="I272" i="285" s="1"/>
  <c r="H142" i="285"/>
  <c r="H272" i="285" s="1"/>
  <c r="G142" i="285"/>
  <c r="G272" i="285" s="1"/>
  <c r="F142" i="285"/>
  <c r="F272" i="285" s="1"/>
  <c r="E142" i="285"/>
  <c r="E272" i="285" s="1"/>
  <c r="D142" i="285"/>
  <c r="D272" i="285" s="1"/>
  <c r="C142" i="285"/>
  <c r="C272" i="285" s="1"/>
  <c r="B142" i="285"/>
  <c r="B272" i="285" s="1"/>
  <c r="K141" i="285"/>
  <c r="K271" i="285" s="1"/>
  <c r="J141" i="285"/>
  <c r="J271" i="285" s="1"/>
  <c r="I141" i="285"/>
  <c r="I271" i="285" s="1"/>
  <c r="H141" i="285"/>
  <c r="H271" i="285" s="1"/>
  <c r="G141" i="285"/>
  <c r="G271" i="285" s="1"/>
  <c r="F141" i="285"/>
  <c r="F271" i="285" s="1"/>
  <c r="E141" i="285"/>
  <c r="E271" i="285" s="1"/>
  <c r="D141" i="285"/>
  <c r="D271" i="285" s="1"/>
  <c r="C141" i="285"/>
  <c r="C271" i="285" s="1"/>
  <c r="B141" i="285"/>
  <c r="B271" i="285" s="1"/>
  <c r="K140" i="285"/>
  <c r="K270" i="285" s="1"/>
  <c r="J140" i="285"/>
  <c r="J270" i="285" s="1"/>
  <c r="I140" i="285"/>
  <c r="I270" i="285" s="1"/>
  <c r="H140" i="285"/>
  <c r="H270" i="285" s="1"/>
  <c r="G140" i="285"/>
  <c r="G270" i="285" s="1"/>
  <c r="F140" i="285"/>
  <c r="F270" i="285" s="1"/>
  <c r="E140" i="285"/>
  <c r="E270" i="285" s="1"/>
  <c r="D140" i="285"/>
  <c r="D270" i="285" s="1"/>
  <c r="C140" i="285"/>
  <c r="C270" i="285" s="1"/>
  <c r="B140" i="285"/>
  <c r="B270" i="285" s="1"/>
  <c r="K139" i="285"/>
  <c r="K269" i="285" s="1"/>
  <c r="J139" i="285"/>
  <c r="J269" i="285" s="1"/>
  <c r="I139" i="285"/>
  <c r="I269" i="285" s="1"/>
  <c r="H139" i="285"/>
  <c r="H269" i="285" s="1"/>
  <c r="G139" i="285"/>
  <c r="G269" i="285" s="1"/>
  <c r="F139" i="285"/>
  <c r="F269" i="285" s="1"/>
  <c r="E139" i="285"/>
  <c r="E269" i="285" s="1"/>
  <c r="D139" i="285"/>
  <c r="D269" i="285" s="1"/>
  <c r="C139" i="285"/>
  <c r="C269" i="285" s="1"/>
  <c r="B139" i="285"/>
  <c r="B269" i="285" s="1"/>
  <c r="K138" i="285"/>
  <c r="K268" i="285" s="1"/>
  <c r="J138" i="285"/>
  <c r="J268" i="285" s="1"/>
  <c r="I138" i="285"/>
  <c r="I268" i="285" s="1"/>
  <c r="H138" i="285"/>
  <c r="H268" i="285" s="1"/>
  <c r="G138" i="285"/>
  <c r="G268" i="285" s="1"/>
  <c r="F138" i="285"/>
  <c r="F268" i="285" s="1"/>
  <c r="E138" i="285"/>
  <c r="E268" i="285" s="1"/>
  <c r="D138" i="285"/>
  <c r="D268" i="285" s="1"/>
  <c r="C138" i="285"/>
  <c r="C268" i="285" s="1"/>
  <c r="B138" i="285"/>
  <c r="B268" i="285" s="1"/>
  <c r="K136" i="285"/>
  <c r="J136" i="285"/>
  <c r="I136" i="285"/>
  <c r="G136" i="285"/>
  <c r="F136" i="285"/>
  <c r="E136" i="285"/>
  <c r="C136" i="285"/>
  <c r="B136" i="285"/>
  <c r="H4" i="285"/>
  <c r="H136" i="285" s="1"/>
  <c r="H5" i="285"/>
  <c r="M4" i="285" l="1"/>
  <c r="M271" i="285"/>
  <c r="M273" i="285"/>
  <c r="M278" i="285"/>
  <c r="M268" i="285"/>
  <c r="E15" i="286" s="1"/>
  <c r="M270" i="285"/>
  <c r="M274" i="285"/>
  <c r="M136" i="285"/>
  <c r="E31" i="284"/>
  <c r="O31" i="284"/>
  <c r="K31" i="284"/>
  <c r="N30" i="284"/>
  <c r="M30" i="284"/>
  <c r="M31" i="284" s="1"/>
  <c r="L30" i="284"/>
  <c r="L31" i="284" s="1"/>
  <c r="N29" i="284"/>
  <c r="P29" i="284" s="1"/>
  <c r="C53" i="3"/>
  <c r="M53" i="3"/>
  <c r="J53" i="3"/>
  <c r="G53" i="3"/>
  <c r="F53" i="3"/>
  <c r="P30" i="284" l="1"/>
  <c r="P31" i="284" s="1"/>
  <c r="N31" i="284"/>
  <c r="M84" i="285"/>
  <c r="M83" i="285"/>
  <c r="M82" i="285"/>
  <c r="M81" i="285"/>
  <c r="M80" i="285"/>
  <c r="M79" i="285"/>
  <c r="M78" i="285"/>
  <c r="M77" i="285"/>
  <c r="M76" i="285"/>
  <c r="M75" i="285"/>
  <c r="M74" i="285"/>
  <c r="M73" i="285"/>
  <c r="M72" i="285"/>
  <c r="M16" i="285"/>
  <c r="M15" i="285"/>
  <c r="M14" i="285"/>
  <c r="M13" i="285"/>
  <c r="M12" i="285"/>
  <c r="M11" i="285"/>
  <c r="M10" i="285"/>
  <c r="M9" i="285"/>
  <c r="M8" i="285"/>
  <c r="M7" i="285"/>
  <c r="M6" i="285"/>
  <c r="M5" i="285"/>
  <c r="M148" i="285"/>
  <c r="C25" i="286" s="1"/>
  <c r="M147" i="285"/>
  <c r="C24" i="286" s="1"/>
  <c r="M146" i="285"/>
  <c r="C23" i="286" s="1"/>
  <c r="M145" i="285"/>
  <c r="C22" i="286" s="1"/>
  <c r="M144" i="285"/>
  <c r="C21" i="286" s="1"/>
  <c r="M143" i="285"/>
  <c r="C20" i="286" s="1"/>
  <c r="M142" i="285"/>
  <c r="C19" i="286" s="1"/>
  <c r="M141" i="285"/>
  <c r="C18" i="286" s="1"/>
  <c r="M140" i="285"/>
  <c r="C17" i="286" s="1"/>
  <c r="M139" i="285"/>
  <c r="C16" i="286" s="1"/>
  <c r="A32" i="284"/>
  <c r="A33" i="284"/>
  <c r="A34" i="284"/>
  <c r="A35" i="284"/>
  <c r="A36" i="284"/>
  <c r="A37" i="284"/>
  <c r="A38" i="284"/>
  <c r="A39" i="284"/>
  <c r="A40" i="284"/>
  <c r="A41" i="284"/>
  <c r="A42" i="284"/>
  <c r="A65" i="224"/>
  <c r="A66" i="224"/>
  <c r="A67" i="224"/>
  <c r="A68" i="224"/>
  <c r="A69" i="224"/>
  <c r="A70" i="224"/>
  <c r="A71" i="224"/>
  <c r="A72" i="224"/>
  <c r="A73" i="224"/>
  <c r="A74" i="224"/>
  <c r="A75" i="224"/>
  <c r="A65" i="164"/>
  <c r="A66" i="164"/>
  <c r="A67" i="164"/>
  <c r="A68" i="164"/>
  <c r="A69" i="164"/>
  <c r="A70" i="164"/>
  <c r="A71" i="164"/>
  <c r="A72" i="164"/>
  <c r="A73" i="164"/>
  <c r="A74" i="164"/>
  <c r="A75" i="164"/>
  <c r="A65" i="201"/>
  <c r="A66" i="201"/>
  <c r="A67" i="201"/>
  <c r="A68" i="201"/>
  <c r="A69" i="201"/>
  <c r="A70" i="201"/>
  <c r="A71" i="201"/>
  <c r="A72" i="201"/>
  <c r="A73" i="201"/>
  <c r="A74" i="201"/>
  <c r="A75" i="201"/>
  <c r="A65" i="200"/>
  <c r="A66" i="200"/>
  <c r="A67" i="200"/>
  <c r="A68" i="200"/>
  <c r="A69" i="200"/>
  <c r="A70" i="200"/>
  <c r="A71" i="200"/>
  <c r="A72" i="200"/>
  <c r="A73" i="200"/>
  <c r="A74" i="200"/>
  <c r="A75" i="200"/>
  <c r="A26" i="283"/>
  <c r="A27" i="283"/>
  <c r="A28" i="283"/>
  <c r="A29" i="283"/>
  <c r="A30" i="283"/>
  <c r="A31" i="283"/>
  <c r="A32" i="283"/>
  <c r="A34" i="283"/>
  <c r="A35" i="283"/>
  <c r="A36" i="283"/>
  <c r="A72" i="250"/>
  <c r="A63" i="250"/>
  <c r="A64" i="250"/>
  <c r="A65" i="250"/>
  <c r="A66" i="250"/>
  <c r="A67" i="250"/>
  <c r="A68" i="250"/>
  <c r="A69" i="250"/>
  <c r="A70" i="250"/>
  <c r="A71" i="250"/>
  <c r="A28" i="286"/>
  <c r="A27" i="286"/>
  <c r="A25" i="286"/>
  <c r="A24" i="286"/>
  <c r="A23" i="286"/>
  <c r="A22" i="286"/>
  <c r="A21" i="286"/>
  <c r="A20" i="286"/>
  <c r="A19" i="286"/>
  <c r="A18" i="286"/>
  <c r="A17" i="286"/>
  <c r="A16" i="286"/>
  <c r="A15" i="286"/>
  <c r="A14" i="286"/>
  <c r="H13" i="286"/>
  <c r="A29" i="282"/>
  <c r="A30" i="282"/>
  <c r="A31" i="282"/>
  <c r="A32" i="282"/>
  <c r="A33" i="282"/>
  <c r="A34" i="282"/>
  <c r="A35" i="282"/>
  <c r="A36" i="282"/>
  <c r="A37" i="282"/>
  <c r="A38" i="282"/>
  <c r="A66" i="231"/>
  <c r="A67" i="231"/>
  <c r="A68" i="231"/>
  <c r="A69" i="231"/>
  <c r="A70" i="231"/>
  <c r="A71" i="231"/>
  <c r="A72" i="231"/>
  <c r="A73" i="231"/>
  <c r="A74" i="231"/>
  <c r="A75" i="231"/>
  <c r="A66" i="230"/>
  <c r="A67" i="230"/>
  <c r="A68" i="230"/>
  <c r="A69" i="230"/>
  <c r="A70" i="230"/>
  <c r="A71" i="230"/>
  <c r="A72" i="230"/>
  <c r="A73" i="230"/>
  <c r="A74" i="230"/>
  <c r="A75" i="230"/>
  <c r="N64" i="3"/>
  <c r="N63" i="3"/>
  <c r="N62" i="3"/>
  <c r="N61" i="3"/>
  <c r="N60" i="3"/>
  <c r="N59" i="3"/>
  <c r="N58" i="3"/>
  <c r="N57" i="3"/>
  <c r="N56" i="3"/>
  <c r="N55" i="3"/>
  <c r="N54" i="3"/>
  <c r="N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K137" i="285"/>
  <c r="K267" i="285" s="1"/>
  <c r="J137" i="285"/>
  <c r="J267" i="285" s="1"/>
  <c r="I137" i="285"/>
  <c r="I267" i="285" s="1"/>
  <c r="H137" i="285"/>
  <c r="H267" i="285" s="1"/>
  <c r="G137" i="285"/>
  <c r="G267" i="285" s="1"/>
  <c r="F137" i="285"/>
  <c r="F267" i="285" s="1"/>
  <c r="E137" i="285"/>
  <c r="E267" i="285" s="1"/>
  <c r="D137" i="285"/>
  <c r="D267" i="285" s="1"/>
  <c r="C137" i="285"/>
  <c r="C267" i="285" s="1"/>
  <c r="B137" i="285"/>
  <c r="B267" i="285" s="1"/>
  <c r="M267" i="285" l="1"/>
  <c r="E14" i="286" s="1"/>
  <c r="M138" i="285"/>
  <c r="C15" i="286" s="1"/>
  <c r="M137" i="285"/>
  <c r="C14" i="286" s="1"/>
  <c r="I55" i="3"/>
  <c r="I59" i="3"/>
  <c r="C39" i="290" s="1"/>
  <c r="E39" i="290" s="1"/>
  <c r="I63" i="3"/>
  <c r="C43" i="290" s="1"/>
  <c r="E43" i="290" s="1"/>
  <c r="I56" i="3"/>
  <c r="C36" i="290" s="1"/>
  <c r="E36" i="290" s="1"/>
  <c r="I60" i="3"/>
  <c r="C40" i="290" s="1"/>
  <c r="E40" i="290" s="1"/>
  <c r="I64" i="3"/>
  <c r="C44" i="290" s="1"/>
  <c r="E44" i="290" s="1"/>
  <c r="I53" i="3"/>
  <c r="C33" i="290" s="1"/>
  <c r="I57" i="3"/>
  <c r="C37" i="290" s="1"/>
  <c r="E37" i="290" s="1"/>
  <c r="I61" i="3"/>
  <c r="C41" i="290" s="1"/>
  <c r="E41" i="290" s="1"/>
  <c r="I54" i="3"/>
  <c r="C34" i="290" s="1"/>
  <c r="E34" i="290" s="1"/>
  <c r="I58" i="3"/>
  <c r="C38" i="290" s="1"/>
  <c r="E38" i="290" s="1"/>
  <c r="I62" i="3"/>
  <c r="C42" i="290" s="1"/>
  <c r="E42" i="290" s="1"/>
  <c r="E17" i="286"/>
  <c r="M272" i="285"/>
  <c r="E19" i="286" s="1"/>
  <c r="E21" i="286"/>
  <c r="M276" i="285"/>
  <c r="E23" i="286" s="1"/>
  <c r="E25" i="286"/>
  <c r="M269" i="285"/>
  <c r="E16" i="286" s="1"/>
  <c r="E18" i="286"/>
  <c r="E20" i="286"/>
  <c r="M275" i="285"/>
  <c r="E22" i="286" s="1"/>
  <c r="M277" i="285"/>
  <c r="E24" i="286" s="1"/>
  <c r="C33" i="284" l="1"/>
  <c r="E33" i="284" s="1"/>
  <c r="C35" i="290"/>
  <c r="E35" i="290" s="1"/>
  <c r="K53" i="3"/>
  <c r="O53" i="3" s="1"/>
  <c r="K64" i="3"/>
  <c r="O64" i="3" s="1"/>
  <c r="C42" i="284"/>
  <c r="E42" i="284" s="1"/>
  <c r="K63" i="3"/>
  <c r="O63" i="3" s="1"/>
  <c r="C41" i="284"/>
  <c r="E41" i="284" s="1"/>
  <c r="K62" i="3"/>
  <c r="O62" i="3" s="1"/>
  <c r="C40" i="284"/>
  <c r="E40" i="284" s="1"/>
  <c r="K61" i="3"/>
  <c r="O61" i="3" s="1"/>
  <c r="C39" i="284"/>
  <c r="E39" i="284" s="1"/>
  <c r="K60" i="3"/>
  <c r="O60" i="3" s="1"/>
  <c r="C38" i="284"/>
  <c r="E38" i="284" s="1"/>
  <c r="K59" i="3"/>
  <c r="O59" i="3" s="1"/>
  <c r="C37" i="284"/>
  <c r="E37" i="284" s="1"/>
  <c r="K58" i="3"/>
  <c r="O58" i="3" s="1"/>
  <c r="C36" i="284"/>
  <c r="E36" i="284" s="1"/>
  <c r="K57" i="3"/>
  <c r="O57" i="3" s="1"/>
  <c r="C35" i="284"/>
  <c r="E35" i="284" s="1"/>
  <c r="K56" i="3"/>
  <c r="O56" i="3" s="1"/>
  <c r="C34" i="284"/>
  <c r="E34" i="284" s="1"/>
  <c r="K55" i="3"/>
  <c r="O55" i="3" s="1"/>
  <c r="K54" i="3"/>
  <c r="O54" i="3" s="1"/>
  <c r="C32" i="284"/>
  <c r="E32" i="284" s="1"/>
  <c r="D62" i="224"/>
  <c r="D62" i="164"/>
  <c r="D62" i="201"/>
  <c r="D62" i="200"/>
  <c r="D19" i="283" l="1"/>
  <c r="C52" i="3" l="1"/>
  <c r="M52" i="3"/>
  <c r="J52" i="3"/>
  <c r="G52" i="3"/>
  <c r="D61" i="224" l="1"/>
  <c r="D61" i="164"/>
  <c r="D61" i="231"/>
  <c r="G61" i="230"/>
  <c r="A65" i="231" l="1"/>
  <c r="A64" i="231"/>
  <c r="A62" i="231"/>
  <c r="A61" i="231"/>
  <c r="A65" i="230"/>
  <c r="A64" i="230"/>
  <c r="A62" i="230"/>
  <c r="A61" i="230"/>
  <c r="M51" i="3"/>
  <c r="J51" i="3"/>
  <c r="G51" i="3"/>
  <c r="D60" i="224" l="1"/>
  <c r="D60" i="164"/>
  <c r="D60" i="201"/>
  <c r="D60" i="200"/>
  <c r="D21" i="283"/>
  <c r="D60" i="231"/>
  <c r="G60" i="230"/>
  <c r="M50" i="3" l="1"/>
  <c r="J50" i="3"/>
  <c r="G50" i="3"/>
  <c r="D59" i="231" l="1"/>
  <c r="D59" i="224" l="1"/>
  <c r="D59" i="164"/>
  <c r="D59" i="200"/>
  <c r="G59" i="230"/>
  <c r="M49" i="3" l="1"/>
  <c r="J49" i="3"/>
  <c r="G49" i="3"/>
  <c r="D58" i="224" l="1"/>
  <c r="D58" i="164"/>
  <c r="D58" i="201"/>
  <c r="D58" i="231"/>
  <c r="G58" i="230"/>
  <c r="M48" i="3" l="1"/>
  <c r="J48" i="3"/>
  <c r="G48" i="3"/>
  <c r="D57" i="224" l="1"/>
  <c r="D57" i="164"/>
  <c r="D57" i="231"/>
  <c r="G57" i="230"/>
  <c r="M47" i="3" l="1"/>
  <c r="J47" i="3"/>
  <c r="G47" i="3"/>
  <c r="D56" i="231" l="1"/>
  <c r="D56" i="224" l="1"/>
  <c r="D56" i="164"/>
  <c r="D56" i="201"/>
  <c r="M46" i="3" l="1"/>
  <c r="M45" i="3"/>
  <c r="J46" i="3"/>
  <c r="G46" i="3"/>
  <c r="D55" i="231" l="1"/>
  <c r="D55" i="164" l="1"/>
  <c r="D55" i="201"/>
  <c r="D55" i="200"/>
  <c r="G55" i="230"/>
  <c r="J45" i="3" l="1"/>
  <c r="G45" i="3"/>
  <c r="D54" i="231" l="1"/>
  <c r="D54" i="224" l="1"/>
  <c r="D54" i="164"/>
  <c r="D54" i="200"/>
  <c r="G54" i="230"/>
  <c r="M44" i="3" l="1"/>
  <c r="J44" i="3"/>
  <c r="G44" i="3"/>
  <c r="F44" i="3"/>
  <c r="D14" i="283" l="1"/>
  <c r="D53" i="231" l="1"/>
  <c r="G53" i="230" l="1"/>
  <c r="G52" i="230"/>
  <c r="D53" i="224"/>
  <c r="D53" i="164"/>
  <c r="A62" i="250" l="1"/>
  <c r="A61" i="250"/>
  <c r="A60" i="250"/>
  <c r="A59" i="250"/>
  <c r="A58" i="250"/>
  <c r="A57" i="250"/>
  <c r="A56" i="250"/>
  <c r="A55" i="250"/>
  <c r="A54" i="250"/>
  <c r="A53" i="250"/>
  <c r="A52" i="250"/>
  <c r="A51" i="250"/>
  <c r="M43" i="3"/>
  <c r="J43" i="3"/>
  <c r="G43" i="3"/>
  <c r="F43" i="3"/>
  <c r="D52" i="230" l="1"/>
  <c r="D52" i="231" l="1"/>
  <c r="A53" i="231" l="1"/>
  <c r="A54" i="231"/>
  <c r="A55" i="231"/>
  <c r="A56" i="231"/>
  <c r="A57" i="231"/>
  <c r="A58" i="231"/>
  <c r="A59" i="231"/>
  <c r="A60" i="231"/>
  <c r="A53" i="230"/>
  <c r="A54" i="230"/>
  <c r="A55" i="230"/>
  <c r="A56" i="230"/>
  <c r="A57" i="230"/>
  <c r="A58" i="230"/>
  <c r="A59" i="230"/>
  <c r="A60" i="230"/>
  <c r="D52" i="224" l="1"/>
  <c r="D52" i="164"/>
  <c r="D52" i="201"/>
  <c r="D52" i="200"/>
  <c r="M42" i="3" l="1"/>
  <c r="J42" i="3"/>
  <c r="G42" i="3"/>
  <c r="F42" i="3"/>
  <c r="D51" i="231" l="1"/>
  <c r="E18" i="284" l="1"/>
  <c r="D12" i="283"/>
  <c r="M41" i="3"/>
  <c r="J41" i="3" l="1"/>
  <c r="G41" i="3"/>
  <c r="G40" i="3"/>
  <c r="F41" i="3"/>
  <c r="C31" i="284" l="1"/>
  <c r="H49" i="3"/>
  <c r="N49" i="3"/>
  <c r="H50" i="3"/>
  <c r="N50" i="3"/>
  <c r="H51" i="3"/>
  <c r="N51" i="3"/>
  <c r="H52" i="3"/>
  <c r="N52" i="3"/>
  <c r="E49" i="3"/>
  <c r="E50" i="3"/>
  <c r="E51" i="3"/>
  <c r="E52" i="3"/>
  <c r="A49" i="3"/>
  <c r="A50" i="3"/>
  <c r="A51" i="3"/>
  <c r="A52" i="3"/>
  <c r="A19" i="284"/>
  <c r="A20" i="284"/>
  <c r="A21" i="284"/>
  <c r="A22" i="284"/>
  <c r="A23" i="284"/>
  <c r="A24" i="284"/>
  <c r="A25" i="284"/>
  <c r="A26" i="284"/>
  <c r="A27" i="284"/>
  <c r="A28" i="284"/>
  <c r="A29" i="284"/>
  <c r="A31" i="284"/>
  <c r="A18" i="284"/>
  <c r="H17" i="284"/>
  <c r="A52" i="224"/>
  <c r="A53" i="224"/>
  <c r="A54" i="224"/>
  <c r="A55" i="224"/>
  <c r="A56" i="224"/>
  <c r="A57" i="224"/>
  <c r="A58" i="224"/>
  <c r="A59" i="224"/>
  <c r="A60" i="224"/>
  <c r="A61" i="224"/>
  <c r="A62" i="224"/>
  <c r="A64" i="224"/>
  <c r="A51" i="224"/>
  <c r="A52" i="164"/>
  <c r="A53" i="164"/>
  <c r="A54" i="164"/>
  <c r="A55" i="164"/>
  <c r="A56" i="164"/>
  <c r="A57" i="164"/>
  <c r="A58" i="164"/>
  <c r="A59" i="164"/>
  <c r="A60" i="164"/>
  <c r="A61" i="164"/>
  <c r="A62" i="164"/>
  <c r="A64" i="164"/>
  <c r="A51" i="164"/>
  <c r="A62" i="201"/>
  <c r="A64" i="201"/>
  <c r="A52" i="201"/>
  <c r="A53" i="201"/>
  <c r="A54" i="201"/>
  <c r="A55" i="201"/>
  <c r="A56" i="201"/>
  <c r="A57" i="201"/>
  <c r="A58" i="201"/>
  <c r="A59" i="201"/>
  <c r="A60" i="201"/>
  <c r="A61" i="201"/>
  <c r="A51" i="201"/>
  <c r="A52" i="200"/>
  <c r="A53" i="200"/>
  <c r="A54" i="200"/>
  <c r="A55" i="200"/>
  <c r="A56" i="200"/>
  <c r="A57" i="200"/>
  <c r="A58" i="200"/>
  <c r="A59" i="200"/>
  <c r="A60" i="200"/>
  <c r="A61" i="200"/>
  <c r="A62" i="200"/>
  <c r="A64" i="200"/>
  <c r="A51" i="200"/>
  <c r="I49" i="3" l="1"/>
  <c r="K49" i="3" s="1"/>
  <c r="O49" i="3" s="1"/>
  <c r="I52" i="3"/>
  <c r="C29" i="284" s="1"/>
  <c r="E29" i="284" s="1"/>
  <c r="I51" i="3"/>
  <c r="C30" i="290" s="1"/>
  <c r="E30" i="290" s="1"/>
  <c r="I50" i="3"/>
  <c r="A24" i="283"/>
  <c r="A25" i="283"/>
  <c r="A13" i="283"/>
  <c r="A14" i="283"/>
  <c r="A15" i="283"/>
  <c r="A16" i="283"/>
  <c r="A17" i="283"/>
  <c r="A18" i="283"/>
  <c r="A19" i="283"/>
  <c r="A20" i="283"/>
  <c r="A21" i="283"/>
  <c r="A22" i="283"/>
  <c r="A23" i="283"/>
  <c r="A12" i="283"/>
  <c r="H12" i="283"/>
  <c r="K52" i="3" l="1"/>
  <c r="O52" i="3" s="1"/>
  <c r="C31" i="290"/>
  <c r="E31" i="290" s="1"/>
  <c r="K50" i="3"/>
  <c r="O50" i="3" s="1"/>
  <c r="C29" i="290"/>
  <c r="E29" i="290" s="1"/>
  <c r="C26" i="284"/>
  <c r="E26" i="284" s="1"/>
  <c r="C28" i="290"/>
  <c r="E28" i="290" s="1"/>
  <c r="K51" i="3"/>
  <c r="O51" i="3" s="1"/>
  <c r="C28" i="284"/>
  <c r="E28" i="284" s="1"/>
  <c r="C27" i="284"/>
  <c r="E27" i="284" s="1"/>
  <c r="H13" i="283"/>
  <c r="D49" i="224"/>
  <c r="D49" i="164"/>
  <c r="D50" i="231"/>
  <c r="G50" i="230"/>
  <c r="H14" i="283" l="1"/>
  <c r="H15" i="283" l="1"/>
  <c r="M40" i="3"/>
  <c r="J40" i="3"/>
  <c r="F40" i="3"/>
  <c r="H16" i="283" l="1"/>
  <c r="D49" i="231"/>
  <c r="H17" i="283" l="1"/>
  <c r="D48" i="224"/>
  <c r="D48" i="164"/>
  <c r="D48" i="201"/>
  <c r="D48" i="200"/>
  <c r="G49" i="230"/>
  <c r="H18" i="283" l="1"/>
  <c r="H19" i="283" l="1"/>
  <c r="M39" i="3"/>
  <c r="J39" i="3"/>
  <c r="G39" i="3"/>
  <c r="F39" i="3"/>
  <c r="H20" i="283" l="1"/>
  <c r="A15" i="282"/>
  <c r="A16" i="282"/>
  <c r="A17" i="282"/>
  <c r="A18" i="282"/>
  <c r="A19" i="282"/>
  <c r="A20" i="282"/>
  <c r="A21" i="282"/>
  <c r="A22" i="282"/>
  <c r="A23" i="282"/>
  <c r="A24" i="282"/>
  <c r="A25" i="282"/>
  <c r="A27" i="282"/>
  <c r="A28" i="282"/>
  <c r="A14" i="282"/>
  <c r="A13" i="282"/>
  <c r="A12" i="282"/>
  <c r="H21" i="283" l="1"/>
  <c r="B62" i="132"/>
  <c r="N48" i="3"/>
  <c r="H48" i="3"/>
  <c r="E48" i="3"/>
  <c r="A48" i="3"/>
  <c r="N47" i="3"/>
  <c r="H47" i="3"/>
  <c r="E47" i="3"/>
  <c r="A47" i="3"/>
  <c r="N46" i="3"/>
  <c r="H46" i="3"/>
  <c r="E46" i="3"/>
  <c r="A46" i="3"/>
  <c r="N45" i="3"/>
  <c r="H45" i="3"/>
  <c r="E45" i="3"/>
  <c r="A45" i="3"/>
  <c r="N44" i="3"/>
  <c r="H44" i="3"/>
  <c r="E44" i="3"/>
  <c r="A44" i="3"/>
  <c r="N43" i="3"/>
  <c r="H43" i="3"/>
  <c r="E43" i="3"/>
  <c r="A43" i="3"/>
  <c r="N42" i="3"/>
  <c r="H42" i="3"/>
  <c r="E42" i="3"/>
  <c r="A42" i="3"/>
  <c r="N41" i="3"/>
  <c r="H41" i="3"/>
  <c r="E41" i="3"/>
  <c r="A41" i="3"/>
  <c r="I47" i="3" l="1"/>
  <c r="I46" i="3"/>
  <c r="B63" i="132"/>
  <c r="B65" i="132" s="1"/>
  <c r="B66" i="132" s="1"/>
  <c r="B68" i="132" s="1"/>
  <c r="I43" i="3"/>
  <c r="H22" i="283"/>
  <c r="I41" i="3"/>
  <c r="I48" i="3"/>
  <c r="C27" i="290" s="1"/>
  <c r="E27" i="290" s="1"/>
  <c r="K47" i="3"/>
  <c r="O47" i="3" s="1"/>
  <c r="I42" i="3"/>
  <c r="I44" i="3"/>
  <c r="I45" i="3"/>
  <c r="C24" i="290" s="1"/>
  <c r="E24" i="290" s="1"/>
  <c r="D47" i="231"/>
  <c r="G47" i="230"/>
  <c r="D47" i="224"/>
  <c r="D47" i="164"/>
  <c r="K43" i="3" l="1"/>
  <c r="O43" i="3" s="1"/>
  <c r="C22" i="290"/>
  <c r="E22" i="290" s="1"/>
  <c r="K44" i="3"/>
  <c r="O44" i="3" s="1"/>
  <c r="C23" i="290"/>
  <c r="E23" i="290" s="1"/>
  <c r="C19" i="284"/>
  <c r="E19" i="284" s="1"/>
  <c r="C21" i="290"/>
  <c r="E21" i="290" s="1"/>
  <c r="C23" i="284"/>
  <c r="E23" i="284" s="1"/>
  <c r="C25" i="290"/>
  <c r="E25" i="290" s="1"/>
  <c r="C18" i="284"/>
  <c r="C20" i="290"/>
  <c r="E20" i="290" s="1"/>
  <c r="C24" i="284"/>
  <c r="E24" i="284" s="1"/>
  <c r="C26" i="290"/>
  <c r="E26" i="290" s="1"/>
  <c r="C20" i="284"/>
  <c r="E20" i="284" s="1"/>
  <c r="B69" i="132"/>
  <c r="B71" i="132" s="1"/>
  <c r="B72" i="132" s="1"/>
  <c r="B74" i="132" s="1"/>
  <c r="B75" i="132" s="1"/>
  <c r="B77" i="132" s="1"/>
  <c r="B78" i="132" s="1"/>
  <c r="B80" i="132" s="1"/>
  <c r="B81" i="132" s="1"/>
  <c r="B83" i="132" s="1"/>
  <c r="B84" i="132" s="1"/>
  <c r="B86" i="132" s="1"/>
  <c r="B87" i="132" s="1"/>
  <c r="B89" i="132" s="1"/>
  <c r="F14" i="286"/>
  <c r="H14" i="286" s="1"/>
  <c r="K48" i="3"/>
  <c r="O48" i="3" s="1"/>
  <c r="C25" i="284"/>
  <c r="E25" i="284" s="1"/>
  <c r="K46" i="3"/>
  <c r="O46" i="3" s="1"/>
  <c r="K45" i="3"/>
  <c r="O45" i="3" s="1"/>
  <c r="C22" i="284"/>
  <c r="E22" i="284" s="1"/>
  <c r="C21" i="284"/>
  <c r="E21" i="284" s="1"/>
  <c r="H23" i="283"/>
  <c r="K41" i="3"/>
  <c r="O41" i="3" s="1"/>
  <c r="K42" i="3"/>
  <c r="O42" i="3" s="1"/>
  <c r="M38" i="3"/>
  <c r="J38" i="3"/>
  <c r="G38" i="3"/>
  <c r="F38" i="3"/>
  <c r="B90" i="132" l="1"/>
  <c r="B92" i="132" s="1"/>
  <c r="F15" i="286"/>
  <c r="H15" i="286" s="1"/>
  <c r="H24" i="283"/>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F16" i="286"/>
  <c r="H16" i="286" s="1"/>
  <c r="H25" i="283"/>
  <c r="D46" i="224"/>
  <c r="D46" i="164"/>
  <c r="D46" i="201"/>
  <c r="D46" i="200"/>
  <c r="F17" i="286" l="1"/>
  <c r="H17" i="286" s="1"/>
  <c r="H26" i="283"/>
  <c r="M37" i="3"/>
  <c r="F18" i="286" l="1"/>
  <c r="H18" i="286" s="1"/>
  <c r="H27" i="283"/>
  <c r="J37" i="3"/>
  <c r="G37" i="3"/>
  <c r="F37" i="3"/>
  <c r="F19" i="286" l="1"/>
  <c r="H19" i="286" s="1"/>
  <c r="H28" i="283"/>
  <c r="D45" i="231"/>
  <c r="F20" i="286" l="1"/>
  <c r="H20" i="286" s="1"/>
  <c r="H29" i="283"/>
  <c r="M36" i="3"/>
  <c r="J36" i="3"/>
  <c r="G36" i="3"/>
  <c r="F36" i="3"/>
  <c r="F21" i="286" l="1"/>
  <c r="H21" i="286" s="1"/>
  <c r="H30" i="283"/>
  <c r="D44" i="231"/>
  <c r="F22" i="286" l="1"/>
  <c r="H22" i="286" s="1"/>
  <c r="H31" i="283"/>
  <c r="M35" i="3"/>
  <c r="J35" i="3"/>
  <c r="G35" i="3"/>
  <c r="F35" i="3"/>
  <c r="F23" i="286" l="1"/>
  <c r="H23" i="286" s="1"/>
  <c r="H32" i="283"/>
  <c r="H33" i="283" s="1"/>
  <c r="H34" i="283" s="1"/>
  <c r="D43" i="231"/>
  <c r="F24" i="286" l="1"/>
  <c r="H24" i="286" s="1"/>
  <c r="P34" i="3"/>
  <c r="M34" i="3"/>
  <c r="J34" i="3"/>
  <c r="G34" i="3"/>
  <c r="F34" i="3"/>
  <c r="F25" i="286" l="1"/>
  <c r="H35" i="283"/>
  <c r="D42" i="231"/>
  <c r="H25" i="286" l="1"/>
  <c r="H26" i="286" s="1"/>
  <c r="H36" i="283"/>
  <c r="J33" i="3"/>
  <c r="M33" i="3"/>
  <c r="G33" i="3"/>
  <c r="F33" i="3"/>
  <c r="H37" i="283" l="1"/>
  <c r="F27" i="286"/>
  <c r="D41" i="231"/>
  <c r="H38" i="283" l="1"/>
  <c r="H27" i="286"/>
  <c r="F28" i="286" s="1"/>
  <c r="P32" i="3"/>
  <c r="M32" i="3"/>
  <c r="J32" i="3"/>
  <c r="G32" i="3"/>
  <c r="F32" i="3"/>
  <c r="H39" i="283" l="1"/>
  <c r="H28" i="286"/>
  <c r="D40" i="231"/>
  <c r="H40" i="283" l="1"/>
  <c r="F29" i="286"/>
  <c r="H29" i="286" s="1"/>
  <c r="M31" i="3"/>
  <c r="P31" i="3"/>
  <c r="J31" i="3"/>
  <c r="G31" i="3"/>
  <c r="F31" i="3"/>
  <c r="H41" i="283" l="1"/>
  <c r="F30" i="286"/>
  <c r="D39" i="231"/>
  <c r="H30" i="286" l="1"/>
  <c r="F31" i="286" s="1"/>
  <c r="H31" i="286" s="1"/>
  <c r="H42" i="283"/>
  <c r="P30" i="3"/>
  <c r="M30" i="3"/>
  <c r="J30" i="3"/>
  <c r="G30" i="3"/>
  <c r="F30" i="3"/>
  <c r="H43" i="283" l="1"/>
  <c r="F32" i="286"/>
  <c r="A40" i="224"/>
  <c r="A41" i="224"/>
  <c r="A42" i="224"/>
  <c r="A43" i="224"/>
  <c r="A44" i="224"/>
  <c r="A45" i="224"/>
  <c r="A46" i="224"/>
  <c r="A47" i="224"/>
  <c r="A48" i="224"/>
  <c r="A49" i="224"/>
  <c r="A39" i="224"/>
  <c r="A40" i="164"/>
  <c r="A41" i="164"/>
  <c r="A42" i="164"/>
  <c r="A43" i="164"/>
  <c r="A44" i="164"/>
  <c r="A45" i="164"/>
  <c r="A46" i="164"/>
  <c r="A47" i="164"/>
  <c r="A48" i="164"/>
  <c r="A49" i="164"/>
  <c r="A39" i="164"/>
  <c r="A40" i="201"/>
  <c r="A41" i="201"/>
  <c r="A42" i="201"/>
  <c r="A43" i="201"/>
  <c r="A44" i="201"/>
  <c r="A45" i="201"/>
  <c r="A46" i="201"/>
  <c r="A47" i="201"/>
  <c r="A48" i="201"/>
  <c r="A49" i="201"/>
  <c r="A39" i="201"/>
  <c r="A40" i="200"/>
  <c r="A41" i="200"/>
  <c r="A42" i="200"/>
  <c r="A43" i="200"/>
  <c r="A44" i="200"/>
  <c r="A45" i="200"/>
  <c r="A46" i="200"/>
  <c r="A47" i="200"/>
  <c r="A48" i="200"/>
  <c r="A49" i="200"/>
  <c r="A39" i="200"/>
  <c r="H32" i="286" l="1"/>
  <c r="F33" i="286" s="1"/>
  <c r="H33" i="286" s="1"/>
  <c r="H44" i="283"/>
  <c r="D38" i="231"/>
  <c r="H45" i="283" l="1"/>
  <c r="F34" i="286"/>
  <c r="P29" i="3"/>
  <c r="M29" i="3"/>
  <c r="J29" i="3"/>
  <c r="G29" i="3"/>
  <c r="F29" i="3"/>
  <c r="H34" i="286" l="1"/>
  <c r="H46" i="283"/>
  <c r="F35" i="286" l="1"/>
  <c r="H35" i="286" s="1"/>
  <c r="H47" i="283"/>
  <c r="D37" i="231"/>
  <c r="F36" i="286" l="1"/>
  <c r="H36" i="286" s="1"/>
  <c r="F37" i="286" s="1"/>
  <c r="H48" i="283"/>
  <c r="M28" i="3"/>
  <c r="P28" i="3"/>
  <c r="J28" i="3"/>
  <c r="G28" i="3"/>
  <c r="F28" i="3"/>
  <c r="C28" i="3"/>
  <c r="D28" i="3"/>
  <c r="H49" i="283" l="1"/>
  <c r="H37" i="286"/>
  <c r="F38" i="286" s="1"/>
  <c r="H38" i="286" s="1"/>
  <c r="H39" i="286" s="1"/>
  <c r="F40" i="286" s="1"/>
  <c r="D36" i="231"/>
  <c r="H40" i="286" l="1"/>
  <c r="H50" i="283"/>
  <c r="H51" i="283" l="1"/>
  <c r="H52" i="283" s="1"/>
  <c r="H53" i="283" s="1"/>
  <c r="H54" i="283" s="1"/>
  <c r="F41" i="286"/>
  <c r="M27" i="3"/>
  <c r="P27" i="3"/>
  <c r="J27" i="3"/>
  <c r="H41" i="286" l="1"/>
  <c r="F42" i="286" s="1"/>
  <c r="H42" i="286" s="1"/>
  <c r="G27" i="3"/>
  <c r="C27" i="3"/>
  <c r="D27" i="3"/>
  <c r="F27" i="3"/>
  <c r="F43" i="286" l="1"/>
  <c r="H43" i="286" l="1"/>
  <c r="F44" i="286" s="1"/>
  <c r="H44" i="286" s="1"/>
  <c r="H55" i="283"/>
  <c r="A37" i="224"/>
  <c r="A37" i="164"/>
  <c r="A37" i="201"/>
  <c r="A37" i="200"/>
  <c r="A50" i="250"/>
  <c r="A37" i="250"/>
  <c r="A38" i="250"/>
  <c r="A39" i="250"/>
  <c r="A40" i="250"/>
  <c r="A41" i="250"/>
  <c r="A42" i="250"/>
  <c r="A43" i="250"/>
  <c r="A44" i="250"/>
  <c r="A45" i="250"/>
  <c r="A46" i="250"/>
  <c r="A47" i="250"/>
  <c r="A48" i="250"/>
  <c r="A49" i="250"/>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N40" i="3"/>
  <c r="H40" i="3"/>
  <c r="E40" i="3"/>
  <c r="A40" i="3"/>
  <c r="N39" i="3"/>
  <c r="H39" i="3"/>
  <c r="E39" i="3"/>
  <c r="A39" i="3"/>
  <c r="N38" i="3"/>
  <c r="H38" i="3"/>
  <c r="E38" i="3"/>
  <c r="A38" i="3"/>
  <c r="N37" i="3"/>
  <c r="H37" i="3"/>
  <c r="E37" i="3"/>
  <c r="A37" i="3"/>
  <c r="N36" i="3"/>
  <c r="H36" i="3"/>
  <c r="E36" i="3"/>
  <c r="A36" i="3"/>
  <c r="N35" i="3"/>
  <c r="H35" i="3"/>
  <c r="E35" i="3"/>
  <c r="A35" i="3"/>
  <c r="N34" i="3"/>
  <c r="H34" i="3"/>
  <c r="E34" i="3"/>
  <c r="A34" i="3"/>
  <c r="N33" i="3"/>
  <c r="H33" i="3"/>
  <c r="E33" i="3"/>
  <c r="N32" i="3"/>
  <c r="H32" i="3"/>
  <c r="E32" i="3"/>
  <c r="A32" i="3"/>
  <c r="N31" i="3"/>
  <c r="H31" i="3"/>
  <c r="E31" i="3"/>
  <c r="N30" i="3"/>
  <c r="H30" i="3"/>
  <c r="E30" i="3"/>
  <c r="A30" i="3"/>
  <c r="N29" i="3"/>
  <c r="H29" i="3"/>
  <c r="E29" i="3"/>
  <c r="A29" i="3"/>
  <c r="H56" i="283" l="1"/>
  <c r="F45" i="286"/>
  <c r="H45" i="286" s="1"/>
  <c r="I40" i="3"/>
  <c r="I39" i="3"/>
  <c r="I38" i="3"/>
  <c r="K38" i="3" s="1"/>
  <c r="O38" i="3" s="1"/>
  <c r="I36" i="3"/>
  <c r="I34" i="3"/>
  <c r="K34" i="3" s="1"/>
  <c r="O34" i="3" s="1"/>
  <c r="A33" i="3"/>
  <c r="A40" i="230"/>
  <c r="I35" i="3"/>
  <c r="I31" i="3"/>
  <c r="I33" i="3"/>
  <c r="I37" i="3"/>
  <c r="I32" i="3"/>
  <c r="I30" i="3"/>
  <c r="I29" i="3"/>
  <c r="D34" i="231"/>
  <c r="H57" i="283" l="1"/>
  <c r="F46" i="286"/>
  <c r="H46" i="286" s="1"/>
  <c r="K39" i="3"/>
  <c r="O39" i="3" s="1"/>
  <c r="C18" i="290"/>
  <c r="K40" i="3"/>
  <c r="O40" i="3" s="1"/>
  <c r="C19" i="290"/>
  <c r="E19" i="290" s="1"/>
  <c r="K36" i="3"/>
  <c r="O36" i="3" s="1"/>
  <c r="K37" i="3"/>
  <c r="O37" i="3" s="1"/>
  <c r="K35" i="3"/>
  <c r="O35" i="3" s="1"/>
  <c r="K33" i="3"/>
  <c r="O33" i="3" s="1"/>
  <c r="K32" i="3"/>
  <c r="O32" i="3" s="1"/>
  <c r="K31" i="3"/>
  <c r="O31" i="3" s="1"/>
  <c r="K30" i="3"/>
  <c r="O30" i="3" s="1"/>
  <c r="K29" i="3"/>
  <c r="O29" i="3" s="1"/>
  <c r="H58" i="283" l="1"/>
  <c r="F47" i="286"/>
  <c r="H47" i="286" s="1"/>
  <c r="P26" i="3"/>
  <c r="M26" i="3"/>
  <c r="J26" i="3"/>
  <c r="G26" i="3"/>
  <c r="F26" i="3"/>
  <c r="H59" i="283" l="1"/>
  <c r="F48" i="286"/>
  <c r="H48" i="286" s="1"/>
  <c r="D33" i="231"/>
  <c r="H60" i="283" l="1"/>
  <c r="F49" i="286"/>
  <c r="H49" i="286" s="1"/>
  <c r="M25" i="3"/>
  <c r="P25" i="3"/>
  <c r="J25" i="3"/>
  <c r="G25" i="3"/>
  <c r="F25" i="3"/>
  <c r="H61" i="283" l="1"/>
  <c r="F50" i="286"/>
  <c r="H50" i="286" s="1"/>
  <c r="N25" i="3"/>
  <c r="H62" i="283" l="1"/>
  <c r="H63" i="283" s="1"/>
  <c r="H64" i="283" s="1"/>
  <c r="H65" i="283" s="1"/>
  <c r="H66" i="283" s="1"/>
  <c r="H67" i="283" s="1"/>
  <c r="H68" i="283" s="1"/>
  <c r="H69" i="283" s="1"/>
  <c r="H70" i="283" s="1"/>
  <c r="H71" i="283" s="1"/>
  <c r="H72" i="283" s="1"/>
  <c r="H73" i="283" s="1"/>
  <c r="H74" i="283" s="1"/>
  <c r="H75" i="283" s="1"/>
  <c r="H76" i="283" s="1"/>
  <c r="H77" i="283" s="1"/>
  <c r="H78" i="283" s="1"/>
  <c r="H79" i="283" s="1"/>
  <c r="H80" i="283" s="1"/>
  <c r="H81" i="283" s="1"/>
  <c r="H82" i="283" s="1"/>
  <c r="H83" i="283" s="1"/>
  <c r="F51" i="286"/>
  <c r="H51" i="286" s="1"/>
  <c r="D32" i="231"/>
  <c r="H52" i="286" l="1"/>
  <c r="P24" i="3"/>
  <c r="M24" i="3"/>
  <c r="J24" i="3"/>
  <c r="G24" i="3"/>
  <c r="F24" i="3"/>
  <c r="F53" i="286" l="1"/>
  <c r="D31" i="231"/>
  <c r="H53" i="286" l="1"/>
  <c r="P23" i="3"/>
  <c r="M23" i="3"/>
  <c r="J23" i="3"/>
  <c r="G23" i="3"/>
  <c r="F23" i="3"/>
  <c r="F54" i="286" l="1"/>
  <c r="H54" i="286" s="1"/>
  <c r="F55" i="286" s="1"/>
  <c r="H55" i="286" s="1"/>
  <c r="P22" i="3"/>
  <c r="M22" i="3"/>
  <c r="J22" i="3"/>
  <c r="G22" i="3"/>
  <c r="F22" i="3"/>
  <c r="F56" i="286" l="1"/>
  <c r="H56" i="286" s="1"/>
  <c r="D29" i="231"/>
  <c r="F57" i="286" l="1"/>
  <c r="H57" i="286" s="1"/>
  <c r="M21" i="3"/>
  <c r="P21" i="3"/>
  <c r="J21" i="3"/>
  <c r="G21" i="3"/>
  <c r="F21" i="3"/>
  <c r="F58" i="286" l="1"/>
  <c r="H58" i="286" s="1"/>
  <c r="D28" i="231"/>
  <c r="F59" i="286" l="1"/>
  <c r="H59" i="286" s="1"/>
  <c r="P20" i="3"/>
  <c r="M20" i="3"/>
  <c r="J20" i="3"/>
  <c r="G20" i="3"/>
  <c r="F60" i="286" l="1"/>
  <c r="H60" i="286" s="1"/>
  <c r="D27" i="231"/>
  <c r="F61" i="286" l="1"/>
  <c r="H61" i="286" s="1"/>
  <c r="P19" i="3"/>
  <c r="M19" i="3"/>
  <c r="J19" i="3"/>
  <c r="G19" i="3"/>
  <c r="F19" i="3"/>
  <c r="F62" i="286" l="1"/>
  <c r="H62" i="286" s="1"/>
  <c r="D26" i="231"/>
  <c r="F63" i="286" l="1"/>
  <c r="H63" i="286" s="1"/>
  <c r="M18" i="3"/>
  <c r="P18" i="3"/>
  <c r="J18" i="3"/>
  <c r="G18" i="3"/>
  <c r="F18" i="3"/>
  <c r="F64" i="286" l="1"/>
  <c r="H64" i="286" l="1"/>
  <c r="P17" i="3"/>
  <c r="M17" i="3"/>
  <c r="J17" i="3"/>
  <c r="G17" i="3"/>
  <c r="F17" i="3"/>
  <c r="H65" i="286" l="1"/>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6" i="250"/>
  <c r="A27" i="250"/>
  <c r="A28" i="250"/>
  <c r="A29" i="250"/>
  <c r="A30" i="250"/>
  <c r="A31" i="250"/>
  <c r="A32" i="250"/>
  <c r="A33" i="250"/>
  <c r="A34" i="250"/>
  <c r="A35" i="250"/>
  <c r="A36" i="250"/>
  <c r="A25" i="250"/>
  <c r="A27" i="230"/>
  <c r="A37" i="230"/>
  <c r="A26" i="230"/>
  <c r="A28" i="230"/>
  <c r="A29" i="230"/>
  <c r="A30" i="230"/>
  <c r="A31" i="230"/>
  <c r="A32" i="230"/>
  <c r="A33" i="230"/>
  <c r="A34" i="230"/>
  <c r="A36" i="230"/>
  <c r="A25" i="230"/>
  <c r="H19" i="3"/>
  <c r="N19" i="3"/>
  <c r="H20" i="3"/>
  <c r="N20" i="3"/>
  <c r="H21" i="3"/>
  <c r="N21" i="3"/>
  <c r="H22" i="3"/>
  <c r="N22" i="3"/>
  <c r="H23" i="3"/>
  <c r="N23" i="3"/>
  <c r="H24" i="3"/>
  <c r="N24" i="3"/>
  <c r="H25" i="3"/>
  <c r="H26" i="3"/>
  <c r="N26" i="3"/>
  <c r="H27" i="3"/>
  <c r="N27" i="3"/>
  <c r="H28" i="3"/>
  <c r="N28" i="3"/>
  <c r="E19" i="3"/>
  <c r="E20" i="3"/>
  <c r="E21" i="3"/>
  <c r="E22" i="3"/>
  <c r="E23" i="3"/>
  <c r="E24" i="3"/>
  <c r="E25" i="3"/>
  <c r="E26" i="3"/>
  <c r="E27" i="3"/>
  <c r="E28" i="3"/>
  <c r="A19" i="3"/>
  <c r="A20" i="3"/>
  <c r="A21" i="3"/>
  <c r="A22" i="3"/>
  <c r="A23" i="3"/>
  <c r="A24" i="3"/>
  <c r="A25" i="3"/>
  <c r="A26" i="3"/>
  <c r="A27" i="3"/>
  <c r="A28" i="3"/>
  <c r="F66" i="286" l="1"/>
  <c r="I27" i="3"/>
  <c r="I26" i="3"/>
  <c r="K26" i="3" s="1"/>
  <c r="O26" i="3" s="1"/>
  <c r="I28" i="3"/>
  <c r="I25" i="3"/>
  <c r="I24" i="3"/>
  <c r="I23" i="3"/>
  <c r="I22" i="3"/>
  <c r="I21" i="3"/>
  <c r="K21" i="3" s="1"/>
  <c r="O21" i="3" s="1"/>
  <c r="I20" i="3"/>
  <c r="K20" i="3" s="1"/>
  <c r="O20" i="3" s="1"/>
  <c r="I19" i="3"/>
  <c r="H66" i="286" l="1"/>
  <c r="K27" i="3"/>
  <c r="O27" i="3" s="1"/>
  <c r="K28" i="3"/>
  <c r="O28" i="3" s="1"/>
  <c r="K25" i="3"/>
  <c r="O25" i="3" s="1"/>
  <c r="K23" i="3"/>
  <c r="O23" i="3" s="1"/>
  <c r="K24" i="3"/>
  <c r="O24" i="3" s="1"/>
  <c r="K22" i="3"/>
  <c r="O22" i="3" s="1"/>
  <c r="K19" i="3"/>
  <c r="O19" i="3" s="1"/>
  <c r="A7" i="3"/>
  <c r="A17" i="3"/>
  <c r="A18" i="3"/>
  <c r="D23" i="231"/>
  <c r="D23" i="164"/>
  <c r="D19" i="164"/>
  <c r="J16" i="3"/>
  <c r="M16" i="3"/>
  <c r="P16" i="3"/>
  <c r="G16" i="3"/>
  <c r="F16" i="3"/>
  <c r="D22" i="231"/>
  <c r="P15" i="3"/>
  <c r="M15" i="3"/>
  <c r="J15" i="3"/>
  <c r="G15" i="3"/>
  <c r="F15" i="3"/>
  <c r="D21" i="231"/>
  <c r="M14" i="3"/>
  <c r="P14" i="3"/>
  <c r="J14" i="3"/>
  <c r="G14" i="3"/>
  <c r="F14" i="3"/>
  <c r="D20" i="231"/>
  <c r="M13" i="3"/>
  <c r="P13" i="3"/>
  <c r="J13" i="3"/>
  <c r="G13" i="3"/>
  <c r="F13" i="3"/>
  <c r="D19" i="231"/>
  <c r="P12" i="3"/>
  <c r="M12" i="3"/>
  <c r="J12" i="3"/>
  <c r="G12" i="3"/>
  <c r="F12" i="3"/>
  <c r="D18" i="231"/>
  <c r="M11" i="3"/>
  <c r="P11" i="3"/>
  <c r="J11" i="3"/>
  <c r="G11" i="3"/>
  <c r="F11" i="3"/>
  <c r="D17" i="230"/>
  <c r="D17" i="231"/>
  <c r="J10" i="3"/>
  <c r="M10" i="3"/>
  <c r="P10" i="3"/>
  <c r="G10" i="3"/>
  <c r="F10" i="3"/>
  <c r="D16" i="224"/>
  <c r="D16" i="201"/>
  <c r="D16" i="200"/>
  <c r="P9" i="3"/>
  <c r="M9" i="3"/>
  <c r="J9" i="3"/>
  <c r="G9" i="3"/>
  <c r="F9" i="3"/>
  <c r="D15" i="224"/>
  <c r="D15" i="201"/>
  <c r="D15" i="200"/>
  <c r="D15" i="231"/>
  <c r="P8" i="3"/>
  <c r="M8" i="3"/>
  <c r="J8" i="3"/>
  <c r="G8" i="3"/>
  <c r="F8" i="3"/>
  <c r="D14" i="231"/>
  <c r="M7" i="3"/>
  <c r="P7" i="3"/>
  <c r="J7" i="3"/>
  <c r="G7" i="3"/>
  <c r="F7" i="3"/>
  <c r="D13" i="231"/>
  <c r="M6" i="3"/>
  <c r="P6" i="3"/>
  <c r="J6" i="3"/>
  <c r="G6" i="3"/>
  <c r="F6" i="3"/>
  <c r="D12" i="201"/>
  <c r="D12" i="231"/>
  <c r="P5" i="3"/>
  <c r="M5" i="3"/>
  <c r="J5" i="3"/>
  <c r="G5" i="3"/>
  <c r="F5" i="3"/>
  <c r="A16" i="3"/>
  <c r="A15" i="3"/>
  <c r="A14" i="3"/>
  <c r="A13" i="3"/>
  <c r="A12" i="3"/>
  <c r="A11" i="3"/>
  <c r="A10" i="3"/>
  <c r="A9" i="3"/>
  <c r="A8" i="3"/>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3" i="250"/>
  <c r="A13" i="250"/>
  <c r="A14" i="250"/>
  <c r="A15" i="250"/>
  <c r="A16" i="250"/>
  <c r="A17" i="250"/>
  <c r="A18" i="250"/>
  <c r="A19" i="250"/>
  <c r="A20" i="250"/>
  <c r="A21" i="250"/>
  <c r="A22" i="250"/>
  <c r="A12" i="250"/>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N17" i="3"/>
  <c r="N18" i="3"/>
  <c r="H17" i="3"/>
  <c r="H18" i="3"/>
  <c r="E7" i="3"/>
  <c r="E8" i="3"/>
  <c r="E9" i="3"/>
  <c r="E10" i="3"/>
  <c r="E11" i="3"/>
  <c r="E12" i="3"/>
  <c r="E13" i="3"/>
  <c r="E14" i="3"/>
  <c r="E15" i="3"/>
  <c r="E16" i="3"/>
  <c r="E17" i="3"/>
  <c r="E18" i="3"/>
  <c r="A6" i="3"/>
  <c r="E6" i="3"/>
  <c r="E5" i="3"/>
  <c r="B11" i="132"/>
  <c r="H12" i="250"/>
  <c r="H13" i="250" s="1"/>
  <c r="H14" i="250" s="1"/>
  <c r="H15" i="250" s="1"/>
  <c r="H16" i="250" s="1"/>
  <c r="H17" i="250" s="1"/>
  <c r="H18" i="250" s="1"/>
  <c r="H19" i="250" s="1"/>
  <c r="H20" i="250" s="1"/>
  <c r="H21" i="250" s="1"/>
  <c r="H22" i="250" s="1"/>
  <c r="H23" i="250" s="1"/>
  <c r="H25" i="250" s="1"/>
  <c r="H26" i="250" s="1"/>
  <c r="H27" i="250" s="1"/>
  <c r="H28" i="250" s="1"/>
  <c r="H29" i="250" s="1"/>
  <c r="H30" i="250" s="1"/>
  <c r="H31" i="250" s="1"/>
  <c r="H32" i="250" s="1"/>
  <c r="H33" i="250" s="1"/>
  <c r="H34" i="250" s="1"/>
  <c r="H35" i="250" s="1"/>
  <c r="H36" i="250" s="1"/>
  <c r="H37" i="250" s="1"/>
  <c r="H38" i="250" s="1"/>
  <c r="H39" i="250" s="1"/>
  <c r="H40" i="250" s="1"/>
  <c r="H41" i="250" s="1"/>
  <c r="H42" i="250" s="1"/>
  <c r="H43" i="250" s="1"/>
  <c r="H44" i="250" s="1"/>
  <c r="H45" i="250" s="1"/>
  <c r="H46" i="250" s="1"/>
  <c r="H47" i="250" s="1"/>
  <c r="H48" i="250" s="1"/>
  <c r="H49" i="250" s="1"/>
  <c r="H50" i="250" s="1"/>
  <c r="H51" i="250" s="1"/>
  <c r="H52" i="250" s="1"/>
  <c r="H53" i="250" s="1"/>
  <c r="H54" i="250" s="1"/>
  <c r="H55" i="250" s="1"/>
  <c r="H56" i="250" s="1"/>
  <c r="H57" i="250" s="1"/>
  <c r="H58" i="250" s="1"/>
  <c r="H59" i="250" s="1"/>
  <c r="H60" i="250" s="1"/>
  <c r="H61" i="250" s="1"/>
  <c r="H62" i="250" s="1"/>
  <c r="H63" i="250" s="1"/>
  <c r="H64" i="250" s="1"/>
  <c r="H65" i="250" s="1"/>
  <c r="H66" i="250" s="1"/>
  <c r="H67" i="250" s="1"/>
  <c r="H68" i="250" s="1"/>
  <c r="H69" i="250" s="1"/>
  <c r="H70" i="250" s="1"/>
  <c r="H71" i="250" s="1"/>
  <c r="H72" i="250" s="1"/>
  <c r="H73" i="250" s="1"/>
  <c r="H74" i="250" s="1"/>
  <c r="H75" i="250" s="1"/>
  <c r="H76" i="250" s="1"/>
  <c r="H77" i="250" s="1"/>
  <c r="H78" i="250" s="1"/>
  <c r="H79" i="250" s="1"/>
  <c r="H80" i="250" s="1"/>
  <c r="H81" i="250" s="1"/>
  <c r="H82" i="250" s="1"/>
  <c r="H83" i="250" s="1"/>
  <c r="H84" i="250" s="1"/>
  <c r="H85" i="250" s="1"/>
  <c r="H86" i="250" s="1"/>
  <c r="H87" i="250" s="1"/>
  <c r="H88" i="250" s="1"/>
  <c r="H89" i="250" s="1"/>
  <c r="H90" i="250" s="1"/>
  <c r="H91" i="250" s="1"/>
  <c r="H92" i="250" s="1"/>
  <c r="H93" i="250" s="1"/>
  <c r="H94" i="250" s="1"/>
  <c r="H95" i="250" s="1"/>
  <c r="H96" i="250" s="1"/>
  <c r="H97" i="250" s="1"/>
  <c r="H98" i="250" s="1"/>
  <c r="H99" i="250" s="1"/>
  <c r="H100" i="250" s="1"/>
  <c r="H101" i="250" s="1"/>
  <c r="H102" i="250" s="1"/>
  <c r="H103" i="250" s="1"/>
  <c r="H104" i="250" s="1"/>
  <c r="H105" i="250" s="1"/>
  <c r="H106" i="250" s="1"/>
  <c r="H107" i="250" s="1"/>
  <c r="H108" i="250" s="1"/>
  <c r="H109" i="250" s="1"/>
  <c r="H110" i="250" s="1"/>
  <c r="H111" i="250" s="1"/>
  <c r="H112" i="250" s="1"/>
  <c r="H113" i="250" s="1"/>
  <c r="H114" i="250" s="1"/>
  <c r="H115" i="250" s="1"/>
  <c r="H116" i="250" s="1"/>
  <c r="A5" i="3"/>
  <c r="F67" i="286" l="1"/>
  <c r="I18" i="3"/>
  <c r="H6" i="3"/>
  <c r="I6" i="3" s="1"/>
  <c r="N15" i="3"/>
  <c r="N10" i="3"/>
  <c r="H11" i="3"/>
  <c r="I11" i="3" s="1"/>
  <c r="H5" i="3"/>
  <c r="I5" i="3" s="1"/>
  <c r="K5" i="3" s="1"/>
  <c r="O5" i="3" s="1"/>
  <c r="H16" i="3"/>
  <c r="I16" i="3" s="1"/>
  <c r="N16" i="3"/>
  <c r="N14" i="3"/>
  <c r="B12" i="132"/>
  <c r="B13" i="132" s="1"/>
  <c r="B14" i="132" s="1"/>
  <c r="B15" i="132" s="1"/>
  <c r="H15" i="3"/>
  <c r="I15" i="3" s="1"/>
  <c r="N11" i="3"/>
  <c r="N13" i="3"/>
  <c r="H7" i="3"/>
  <c r="I7" i="3" s="1"/>
  <c r="H10" i="3"/>
  <c r="I10" i="3" s="1"/>
  <c r="I17" i="3"/>
  <c r="K17" i="3" s="1"/>
  <c r="O17" i="3" s="1"/>
  <c r="H12" i="3"/>
  <c r="I12" i="3" s="1"/>
  <c r="N7" i="3"/>
  <c r="H8" i="3"/>
  <c r="I8" i="3" s="1"/>
  <c r="H14" i="3"/>
  <c r="I14" i="3" s="1"/>
  <c r="K14" i="3" s="1"/>
  <c r="O14" i="3" s="1"/>
  <c r="N5" i="3"/>
  <c r="H9" i="3"/>
  <c r="I9" i="3" s="1"/>
  <c r="N12" i="3"/>
  <c r="H13" i="3"/>
  <c r="I13" i="3" s="1"/>
  <c r="N6" i="3"/>
  <c r="N8" i="3"/>
  <c r="N9" i="3"/>
  <c r="H67" i="286" l="1"/>
  <c r="K18" i="3"/>
  <c r="O18" i="3" s="1"/>
  <c r="K11" i="3"/>
  <c r="O11" i="3" s="1"/>
  <c r="K16" i="3"/>
  <c r="O16" i="3" s="1"/>
  <c r="K7" i="3"/>
  <c r="O7" i="3" s="1"/>
  <c r="B16" i="132"/>
  <c r="B17" i="132" s="1"/>
  <c r="B18" i="132" s="1"/>
  <c r="K10" i="3"/>
  <c r="O10" i="3" s="1"/>
  <c r="K12" i="3"/>
  <c r="O12" i="3" s="1"/>
  <c r="K9" i="3"/>
  <c r="O9" i="3" s="1"/>
  <c r="K6" i="3"/>
  <c r="O6" i="3" s="1"/>
  <c r="K13" i="3"/>
  <c r="O13" i="3" s="1"/>
  <c r="K8" i="3"/>
  <c r="O8" i="3" s="1"/>
  <c r="K15" i="3"/>
  <c r="O15" i="3" s="1"/>
  <c r="F68" i="286" l="1"/>
  <c r="H68" i="286" s="1"/>
  <c r="B19" i="132"/>
  <c r="B20" i="132" s="1"/>
  <c r="B21" i="132" s="1"/>
  <c r="F69" i="286" l="1"/>
  <c r="F12" i="230"/>
  <c r="B22" i="132"/>
  <c r="B23" i="132" s="1"/>
  <c r="B24" i="132" s="1"/>
  <c r="B25" i="132" s="1"/>
  <c r="B26" i="132" s="1"/>
  <c r="B27" i="132" s="1"/>
  <c r="B28" i="132" s="1"/>
  <c r="B29" i="132" s="1"/>
  <c r="B30" i="132" s="1"/>
  <c r="B31" i="132" s="1"/>
  <c r="B32" i="132" s="1"/>
  <c r="H69" i="286" l="1"/>
  <c r="B33" i="132"/>
  <c r="B34" i="132" s="1"/>
  <c r="B35" i="132" s="1"/>
  <c r="B36" i="132" s="1"/>
  <c r="B37" i="132" s="1"/>
  <c r="B38" i="132" s="1"/>
  <c r="B39" i="132" s="1"/>
  <c r="B40" i="132" s="1"/>
  <c r="B41" i="132" s="1"/>
  <c r="B42" i="132" s="1"/>
  <c r="F70" i="286" l="1"/>
  <c r="H70" i="286" s="1"/>
  <c r="F71" i="286" s="1"/>
  <c r="H71" i="286" s="1"/>
  <c r="F72" i="286" s="1"/>
  <c r="H72" i="286" s="1"/>
  <c r="F73" i="286" s="1"/>
  <c r="H73" i="286" s="1"/>
  <c r="B43" i="132"/>
  <c r="B44" i="132" s="1"/>
  <c r="B45" i="132" s="1"/>
  <c r="B46" i="132" l="1"/>
  <c r="B47" i="132" s="1"/>
  <c r="B48" i="132" s="1"/>
  <c r="B50" i="132" s="1"/>
  <c r="B51" i="132" s="1"/>
  <c r="B53" i="132" s="1"/>
  <c r="B54" i="132" s="1"/>
  <c r="F18" i="290" s="1"/>
  <c r="H18" i="290" s="1"/>
  <c r="B55" i="132" l="1"/>
  <c r="B56" i="132" s="1"/>
  <c r="F12" i="282"/>
  <c r="H12" i="282" s="1"/>
  <c r="F19" i="290" l="1"/>
  <c r="H19" i="290" s="1"/>
  <c r="F13" i="282"/>
  <c r="H13" i="282" s="1"/>
  <c r="B57" i="132"/>
  <c r="B58" i="132" s="1"/>
  <c r="B59" i="132" s="1"/>
  <c r="B60" i="132" s="1"/>
  <c r="F18" i="284"/>
  <c r="H18" i="284" s="1"/>
  <c r="F20" i="290" l="1"/>
  <c r="H20" i="290" s="1"/>
  <c r="F14" i="282"/>
  <c r="H14" i="282" s="1"/>
  <c r="F19" i="284"/>
  <c r="H19" i="284" s="1"/>
  <c r="F21" i="290" l="1"/>
  <c r="H21" i="290" s="1"/>
  <c r="F20" i="284"/>
  <c r="H20" i="284" s="1"/>
  <c r="F15" i="282"/>
  <c r="H15" i="282" s="1"/>
  <c r="F22" i="290" l="1"/>
  <c r="H22" i="290" s="1"/>
  <c r="F21" i="284"/>
  <c r="H21" i="284" s="1"/>
  <c r="F16" i="282"/>
  <c r="H16" i="282" s="1"/>
  <c r="F23" i="290" l="1"/>
  <c r="H23" i="290" s="1"/>
  <c r="F17" i="282"/>
  <c r="H17" i="282" s="1"/>
  <c r="F22" i="284"/>
  <c r="H22" i="284" s="1"/>
  <c r="F24" i="290" l="1"/>
  <c r="H24" i="290" s="1"/>
  <c r="F23" i="284"/>
  <c r="H23" i="284" s="1"/>
  <c r="F18" i="282"/>
  <c r="H18" i="282" s="1"/>
  <c r="F25" i="290" l="1"/>
  <c r="H25" i="290" s="1"/>
  <c r="F24" i="284"/>
  <c r="H24" i="284" s="1"/>
  <c r="F19" i="282"/>
  <c r="H19" i="282" s="1"/>
  <c r="F26" i="290" l="1"/>
  <c r="H26" i="290" s="1"/>
  <c r="F20" i="282"/>
  <c r="H20" i="282" s="1"/>
  <c r="F25" i="284"/>
  <c r="H25" i="284" s="1"/>
  <c r="F27" i="290" l="1"/>
  <c r="H27" i="290" s="1"/>
  <c r="F21" i="282"/>
  <c r="H21" i="282" s="1"/>
  <c r="F26" i="284"/>
  <c r="H26" i="284" s="1"/>
  <c r="F28" i="290" l="1"/>
  <c r="H28" i="290" s="1"/>
  <c r="F27" i="284"/>
  <c r="H27" i="284" s="1"/>
  <c r="F22" i="282"/>
  <c r="H22" i="282" s="1"/>
  <c r="F29" i="290" l="1"/>
  <c r="H29" i="290" s="1"/>
  <c r="F23" i="282"/>
  <c r="H23" i="282" s="1"/>
  <c r="F28" i="284"/>
  <c r="H28" i="284" s="1"/>
  <c r="F30" i="290" l="1"/>
  <c r="H30" i="290" s="1"/>
  <c r="F24" i="282"/>
  <c r="H24" i="282" s="1"/>
  <c r="F29" i="284"/>
  <c r="F31" i="290" l="1"/>
  <c r="H31" i="290" s="1"/>
  <c r="F25" i="282"/>
  <c r="H29" i="284"/>
  <c r="H30" i="284" s="1"/>
  <c r="H32" i="290" l="1"/>
  <c r="F31" i="284"/>
  <c r="H31" i="284" s="1"/>
  <c r="F32" i="284" s="1"/>
  <c r="H32" i="284" s="1"/>
  <c r="H25" i="282"/>
  <c r="H26" i="282" s="1"/>
  <c r="F33" i="290" l="1"/>
  <c r="H33" i="290" s="1"/>
  <c r="F33" i="284"/>
  <c r="H33" i="284" s="1"/>
  <c r="F27" i="282"/>
  <c r="H27" i="282" s="1"/>
  <c r="F34" i="290" l="1"/>
  <c r="H34" i="290" s="1"/>
  <c r="F34" i="284"/>
  <c r="H34" i="284" s="1"/>
  <c r="F28" i="282"/>
  <c r="F35" i="290" l="1"/>
  <c r="H35" i="290" s="1"/>
  <c r="F35" i="284"/>
  <c r="H35" i="284" s="1"/>
  <c r="H28" i="282"/>
  <c r="F36" i="290" l="1"/>
  <c r="H36" i="290" s="1"/>
  <c r="F36" i="284"/>
  <c r="H36" i="284" s="1"/>
  <c r="F29" i="282"/>
  <c r="F37" i="290" l="1"/>
  <c r="H37" i="290" s="1"/>
  <c r="F37" i="284"/>
  <c r="H37" i="284" s="1"/>
  <c r="H29" i="282"/>
  <c r="F30" i="282" s="1"/>
  <c r="H30" i="282" s="1"/>
  <c r="F31" i="282" s="1"/>
  <c r="H31" i="282" s="1"/>
  <c r="F32" i="282" s="1"/>
  <c r="F38" i="290" l="1"/>
  <c r="H38" i="290" s="1"/>
  <c r="F38" i="284"/>
  <c r="H38" i="284" s="1"/>
  <c r="H32" i="282"/>
  <c r="F33" i="282" s="1"/>
  <c r="F39" i="290" l="1"/>
  <c r="H39" i="290" s="1"/>
  <c r="F39" i="284"/>
  <c r="H33" i="282"/>
  <c r="F34" i="282" s="1"/>
  <c r="F40" i="290" l="1"/>
  <c r="H40" i="290" s="1"/>
  <c r="H39" i="284"/>
  <c r="H34" i="282"/>
  <c r="F35" i="282" s="1"/>
  <c r="F41" i="290" l="1"/>
  <c r="H41" i="290" s="1"/>
  <c r="F40" i="284"/>
  <c r="H40" i="284" s="1"/>
  <c r="H35" i="282"/>
  <c r="F36" i="282" s="1"/>
  <c r="F42" i="290" l="1"/>
  <c r="H42" i="290" s="1"/>
  <c r="F41" i="284"/>
  <c r="H36" i="282"/>
  <c r="F37" i="282" s="1"/>
  <c r="F43" i="290" l="1"/>
  <c r="H43" i="290" s="1"/>
  <c r="H41" i="284"/>
  <c r="H37" i="282"/>
  <c r="F38" i="282" s="1"/>
  <c r="F44" i="290" l="1"/>
  <c r="H44" i="290" s="1"/>
  <c r="F42" i="284"/>
  <c r="H38" i="282"/>
  <c r="H45" i="290" l="1"/>
  <c r="H39" i="282"/>
  <c r="F40" i="282" s="1"/>
  <c r="H42" i="284"/>
  <c r="F46" i="290" l="1"/>
  <c r="H46" i="290" s="1"/>
  <c r="H40" i="282"/>
  <c r="H43" i="284"/>
  <c r="F47" i="290" l="1"/>
  <c r="H47" i="290" s="1"/>
  <c r="F41" i="282"/>
  <c r="F44" i="284"/>
  <c r="F48" i="290" l="1"/>
  <c r="H48" i="290" s="1"/>
  <c r="H41" i="282"/>
  <c r="F42" i="282" s="1"/>
  <c r="H42" i="282" s="1"/>
  <c r="H44" i="284"/>
  <c r="F45" i="284" s="1"/>
  <c r="F49" i="290" l="1"/>
  <c r="H49" i="290" s="1"/>
  <c r="H45" i="284"/>
  <c r="F43" i="282"/>
  <c r="H43" i="282" s="1"/>
  <c r="F50" i="290" l="1"/>
  <c r="H50" i="290" s="1"/>
  <c r="F46" i="284"/>
  <c r="H46" i="284" s="1"/>
  <c r="F44" i="282"/>
  <c r="H44" i="282" s="1"/>
  <c r="F51" i="290" l="1"/>
  <c r="H51" i="290" s="1"/>
  <c r="F47" i="284"/>
  <c r="F45" i="282"/>
  <c r="H45" i="282" s="1"/>
  <c r="F52" i="290" l="1"/>
  <c r="H52" i="290" s="1"/>
  <c r="H47" i="284"/>
  <c r="F48" i="284" s="1"/>
  <c r="H48" i="284" s="1"/>
  <c r="F46" i="282"/>
  <c r="H46" i="282" s="1"/>
  <c r="F53" i="290" l="1"/>
  <c r="H53" i="290" s="1"/>
  <c r="F49" i="284"/>
  <c r="H49" i="284" s="1"/>
  <c r="F47" i="282"/>
  <c r="F54" i="290" l="1"/>
  <c r="H54" i="290" s="1"/>
  <c r="H47" i="282"/>
  <c r="F50" i="284"/>
  <c r="H50" i="284" s="1"/>
  <c r="F51" i="284" s="1"/>
  <c r="H12" i="230"/>
  <c r="F48" i="282" l="1"/>
  <c r="H48" i="282" s="1"/>
  <c r="F55" i="290"/>
  <c r="H55" i="290" s="1"/>
  <c r="H51" i="284"/>
  <c r="F12" i="231"/>
  <c r="H12" i="231" s="1"/>
  <c r="F13" i="230"/>
  <c r="H13" i="230" s="1"/>
  <c r="F52" i="284" l="1"/>
  <c r="H52" i="284" s="1"/>
  <c r="F49" i="282"/>
  <c r="H49" i="282" s="1"/>
  <c r="F56" i="290"/>
  <c r="F14" i="230"/>
  <c r="H14" i="230" s="1"/>
  <c r="F13" i="231"/>
  <c r="H13" i="231" s="1"/>
  <c r="F50" i="282" l="1"/>
  <c r="H50" i="282" s="1"/>
  <c r="F53" i="284"/>
  <c r="H53" i="284" s="1"/>
  <c r="H56" i="290"/>
  <c r="F15" i="230"/>
  <c r="H15" i="230" s="1"/>
  <c r="F14" i="231"/>
  <c r="H14" i="231" s="1"/>
  <c r="F57" i="290" l="1"/>
  <c r="H57" i="290" s="1"/>
  <c r="F51" i="282"/>
  <c r="F54" i="284"/>
  <c r="H54" i="284" s="1"/>
  <c r="F15" i="231"/>
  <c r="H15" i="231" s="1"/>
  <c r="F16" i="230"/>
  <c r="H16" i="230" s="1"/>
  <c r="H58" i="290" l="1"/>
  <c r="H61" i="290" s="1"/>
  <c r="F62" i="290" s="1"/>
  <c r="H62" i="290" s="1"/>
  <c r="H51" i="282"/>
  <c r="F55" i="284"/>
  <c r="F16" i="231"/>
  <c r="H16" i="231" s="1"/>
  <c r="F17" i="230"/>
  <c r="H17" i="230" s="1"/>
  <c r="F63" i="290" l="1"/>
  <c r="H63" i="290" s="1"/>
  <c r="H55" i="284"/>
  <c r="H56" i="284" s="1"/>
  <c r="H52" i="282"/>
  <c r="F17" i="231"/>
  <c r="H17" i="231" s="1"/>
  <c r="F18" i="230"/>
  <c r="H18" i="230" s="1"/>
  <c r="F64" i="290" l="1"/>
  <c r="H64" i="290" s="1"/>
  <c r="F53" i="282"/>
  <c r="H53" i="282" s="1"/>
  <c r="F57" i="284"/>
  <c r="H57" i="284" s="1"/>
  <c r="F18" i="231"/>
  <c r="H18" i="231" s="1"/>
  <c r="F19" i="230"/>
  <c r="H19" i="230" s="1"/>
  <c r="F65" i="290" l="1"/>
  <c r="H65" i="290" s="1"/>
  <c r="F54" i="282"/>
  <c r="F58" i="284"/>
  <c r="F20" i="230"/>
  <c r="H20" i="230" s="1"/>
  <c r="F19" i="231"/>
  <c r="H19" i="231" s="1"/>
  <c r="F66" i="290" l="1"/>
  <c r="H66" i="290" s="1"/>
  <c r="H58" i="284"/>
  <c r="F59" i="284" s="1"/>
  <c r="H59" i="284" s="1"/>
  <c r="H54" i="282"/>
  <c r="F55" i="282" s="1"/>
  <c r="H55" i="282" s="1"/>
  <c r="F56" i="282" s="1"/>
  <c r="H56" i="282" s="1"/>
  <c r="F20" i="231"/>
  <c r="H20" i="231" s="1"/>
  <c r="F21" i="230"/>
  <c r="H21" i="230" s="1"/>
  <c r="F67" i="290" l="1"/>
  <c r="H67" i="290" s="1"/>
  <c r="F60" i="284"/>
  <c r="H60" i="284" s="1"/>
  <c r="F61" i="284" s="1"/>
  <c r="H61" i="284" s="1"/>
  <c r="F57" i="282"/>
  <c r="H57" i="282" s="1"/>
  <c r="F21" i="231"/>
  <c r="H21" i="231" s="1"/>
  <c r="F22" i="230"/>
  <c r="H22" i="230" s="1"/>
  <c r="F12" i="224"/>
  <c r="H12" i="224" s="1"/>
  <c r="F68" i="290" l="1"/>
  <c r="H68" i="290" s="1"/>
  <c r="F58" i="282"/>
  <c r="H58" i="282" s="1"/>
  <c r="F62" i="284"/>
  <c r="H62" i="284" s="1"/>
  <c r="F13" i="224"/>
  <c r="H13" i="224" s="1"/>
  <c r="F22" i="231"/>
  <c r="H22" i="231" s="1"/>
  <c r="F23" i="230"/>
  <c r="F69" i="290" l="1"/>
  <c r="H69" i="290" s="1"/>
  <c r="F59" i="282"/>
  <c r="H59" i="282" s="1"/>
  <c r="F63" i="284"/>
  <c r="H63" i="284" s="1"/>
  <c r="F14" i="224"/>
  <c r="H14" i="224" s="1"/>
  <c r="H23" i="230"/>
  <c r="F23" i="231"/>
  <c r="F60" i="282" l="1"/>
  <c r="H60" i="282" s="1"/>
  <c r="F64" i="284"/>
  <c r="H64" i="284" s="1"/>
  <c r="F12" i="164"/>
  <c r="H12" i="164" s="1"/>
  <c r="H24" i="230"/>
  <c r="F15" i="224"/>
  <c r="H15" i="224" s="1"/>
  <c r="H23" i="231"/>
  <c r="F61" i="282" l="1"/>
  <c r="H61" i="282" s="1"/>
  <c r="F65" i="284"/>
  <c r="H65" i="284" s="1"/>
  <c r="F25" i="230"/>
  <c r="H25" i="230" s="1"/>
  <c r="F13" i="164"/>
  <c r="H13" i="164" s="1"/>
  <c r="F16" i="224"/>
  <c r="H16" i="224" s="1"/>
  <c r="H24" i="231"/>
  <c r="F25" i="231" s="1"/>
  <c r="H25" i="231" s="1"/>
  <c r="F62" i="282" l="1"/>
  <c r="H62" i="282" s="1"/>
  <c r="F66" i="284"/>
  <c r="H66" i="284" s="1"/>
  <c r="F26" i="231"/>
  <c r="H26" i="231" s="1"/>
  <c r="F26" i="230"/>
  <c r="H26" i="230" s="1"/>
  <c r="F27" i="230" s="1"/>
  <c r="F17" i="224"/>
  <c r="H17" i="224" s="1"/>
  <c r="F14" i="164"/>
  <c r="H14" i="164" s="1"/>
  <c r="F63" i="282" l="1"/>
  <c r="H63" i="282" s="1"/>
  <c r="F67" i="284"/>
  <c r="H67" i="284" s="1"/>
  <c r="F27" i="231"/>
  <c r="H27" i="231" s="1"/>
  <c r="F18" i="224"/>
  <c r="H18" i="224" s="1"/>
  <c r="F15" i="164"/>
  <c r="H15" i="164" s="1"/>
  <c r="F64" i="282" l="1"/>
  <c r="H64" i="282" s="1"/>
  <c r="F68" i="284"/>
  <c r="H68" i="284" s="1"/>
  <c r="F28" i="231"/>
  <c r="H28" i="231" s="1"/>
  <c r="F16" i="164"/>
  <c r="H16" i="164" s="1"/>
  <c r="F19" i="224"/>
  <c r="H19" i="224" s="1"/>
  <c r="H69" i="284" l="1"/>
  <c r="H65" i="282"/>
  <c r="F66" i="282" s="1"/>
  <c r="H66" i="282" s="1"/>
  <c r="F29" i="231"/>
  <c r="H29" i="231" s="1"/>
  <c r="F20" i="224"/>
  <c r="H20" i="224" s="1"/>
  <c r="F17" i="164"/>
  <c r="H17" i="164" s="1"/>
  <c r="F67" i="282" l="1"/>
  <c r="F70" i="284"/>
  <c r="F30" i="231"/>
  <c r="H30" i="231" s="1"/>
  <c r="F21" i="224"/>
  <c r="H21" i="224" s="1"/>
  <c r="F18" i="164"/>
  <c r="H18" i="164" s="1"/>
  <c r="H67" i="282" l="1"/>
  <c r="H70" i="284"/>
  <c r="F31" i="231"/>
  <c r="H31" i="231" s="1"/>
  <c r="F19" i="164"/>
  <c r="H19" i="164" s="1"/>
  <c r="F22" i="224"/>
  <c r="H22" i="224" s="1"/>
  <c r="F68" i="282" l="1"/>
  <c r="F71" i="284"/>
  <c r="H71" i="284" s="1"/>
  <c r="F32" i="231"/>
  <c r="F20" i="164"/>
  <c r="H20" i="164" s="1"/>
  <c r="F23" i="224"/>
  <c r="H68" i="282" l="1"/>
  <c r="F69" i="282" s="1"/>
  <c r="H69" i="282" s="1"/>
  <c r="F70" i="282" s="1"/>
  <c r="H70" i="282" s="1"/>
  <c r="F72" i="284"/>
  <c r="H72" i="284" s="1"/>
  <c r="F73" i="284" s="1"/>
  <c r="H73" i="284" s="1"/>
  <c r="H32" i="231"/>
  <c r="H23" i="224"/>
  <c r="F21" i="164"/>
  <c r="H21" i="164" s="1"/>
  <c r="F71" i="282" l="1"/>
  <c r="H71" i="282" s="1"/>
  <c r="F74" i="284"/>
  <c r="H74" i="284" s="1"/>
  <c r="F33" i="231"/>
  <c r="H33" i="231" s="1"/>
  <c r="H24" i="224"/>
  <c r="F25" i="224" s="1"/>
  <c r="H25" i="224" s="1"/>
  <c r="F22" i="164"/>
  <c r="H22" i="164" s="1"/>
  <c r="F72" i="282" l="1"/>
  <c r="H72" i="282" s="1"/>
  <c r="F75" i="284"/>
  <c r="H75" i="284" s="1"/>
  <c r="F34" i="231"/>
  <c r="H34" i="231" s="1"/>
  <c r="H35" i="231" s="1"/>
  <c r="F36" i="231" s="1"/>
  <c r="H36" i="231" s="1"/>
  <c r="F37" i="231" s="1"/>
  <c r="F26" i="224"/>
  <c r="H26" i="224" s="1"/>
  <c r="F23" i="164"/>
  <c r="F76" i="284" l="1"/>
  <c r="H76" i="284" s="1"/>
  <c r="F73" i="282"/>
  <c r="H73" i="282" s="1"/>
  <c r="F27" i="224"/>
  <c r="H27" i="224" s="1"/>
  <c r="H23" i="164"/>
  <c r="F74" i="282" l="1"/>
  <c r="H74" i="282" s="1"/>
  <c r="F77" i="284"/>
  <c r="H77" i="284" s="1"/>
  <c r="H37" i="231"/>
  <c r="F28" i="224"/>
  <c r="H28" i="224" s="1"/>
  <c r="H24" i="164"/>
  <c r="F12" i="200"/>
  <c r="H12" i="200" s="1"/>
  <c r="F78" i="284" l="1"/>
  <c r="F75" i="282"/>
  <c r="H75" i="282" s="1"/>
  <c r="F38" i="231"/>
  <c r="F29" i="224"/>
  <c r="H29" i="224" s="1"/>
  <c r="F25" i="164"/>
  <c r="H25" i="164" s="1"/>
  <c r="F13" i="200"/>
  <c r="H13" i="200" s="1"/>
  <c r="H78" i="284" l="1"/>
  <c r="F76" i="282"/>
  <c r="H76" i="282" s="1"/>
  <c r="F79" i="284"/>
  <c r="H79" i="284" s="1"/>
  <c r="H38" i="231"/>
  <c r="F26" i="164"/>
  <c r="H26" i="164" s="1"/>
  <c r="F30" i="224"/>
  <c r="H30" i="224" s="1"/>
  <c r="F14" i="200"/>
  <c r="H14" i="200" s="1"/>
  <c r="F12" i="201"/>
  <c r="H12" i="201" s="1"/>
  <c r="F80" i="284" l="1"/>
  <c r="H80" i="284" s="1"/>
  <c r="F77" i="282"/>
  <c r="F39" i="231"/>
  <c r="H39" i="231" s="1"/>
  <c r="F40" i="231" s="1"/>
  <c r="H40" i="231" s="1"/>
  <c r="F31" i="224"/>
  <c r="H31" i="224" s="1"/>
  <c r="F27" i="164"/>
  <c r="H27" i="164" s="1"/>
  <c r="F13" i="201"/>
  <c r="H13" i="201" s="1"/>
  <c r="F15" i="200"/>
  <c r="H15" i="200" s="1"/>
  <c r="H77" i="282" l="1"/>
  <c r="F81" i="284"/>
  <c r="F41" i="231"/>
  <c r="F28" i="164"/>
  <c r="H28" i="164" s="1"/>
  <c r="F32" i="224"/>
  <c r="F16" i="200"/>
  <c r="H16" i="200" s="1"/>
  <c r="F14" i="201"/>
  <c r="H14" i="201" s="1"/>
  <c r="H78" i="282" l="1"/>
  <c r="F79" i="282" s="1"/>
  <c r="H79" i="282" s="1"/>
  <c r="H81" i="284"/>
  <c r="H41" i="231"/>
  <c r="H32" i="224"/>
  <c r="F29" i="164"/>
  <c r="H29" i="164" s="1"/>
  <c r="F15" i="201"/>
  <c r="H15" i="201" s="1"/>
  <c r="F17" i="200"/>
  <c r="H17" i="200" s="1"/>
  <c r="F80" i="282" l="1"/>
  <c r="H80" i="282" s="1"/>
  <c r="H82" i="284"/>
  <c r="F42" i="231"/>
  <c r="H42" i="231" s="1"/>
  <c r="F33" i="224"/>
  <c r="H33" i="224" s="1"/>
  <c r="F30" i="164"/>
  <c r="H30" i="164" s="1"/>
  <c r="F18" i="200"/>
  <c r="H18" i="200" s="1"/>
  <c r="F16" i="201"/>
  <c r="H16" i="201" s="1"/>
  <c r="F81" i="282" l="1"/>
  <c r="H81" i="282" s="1"/>
  <c r="F83" i="284"/>
  <c r="H83" i="284" s="1"/>
  <c r="F43" i="231"/>
  <c r="H43" i="231" s="1"/>
  <c r="F34" i="224"/>
  <c r="H34" i="224" s="1"/>
  <c r="F31" i="164"/>
  <c r="H31" i="164" s="1"/>
  <c r="F19" i="200"/>
  <c r="H19" i="200" s="1"/>
  <c r="F17" i="201"/>
  <c r="H17" i="201" s="1"/>
  <c r="F82" i="282" l="1"/>
  <c r="H82" i="282" s="1"/>
  <c r="F84" i="284"/>
  <c r="H84" i="284" s="1"/>
  <c r="F44" i="231"/>
  <c r="H44" i="231" s="1"/>
  <c r="F35" i="224"/>
  <c r="H35" i="224" s="1"/>
  <c r="F32" i="164"/>
  <c r="F18" i="201"/>
  <c r="H18" i="201" s="1"/>
  <c r="F20" i="200"/>
  <c r="H20" i="200" s="1"/>
  <c r="F83" i="282" l="1"/>
  <c r="H83" i="282" s="1"/>
  <c r="F85" i="284"/>
  <c r="H85" i="284" s="1"/>
  <c r="F45" i="231"/>
  <c r="H45" i="231" s="1"/>
  <c r="F36" i="224"/>
  <c r="H36" i="224" s="1"/>
  <c r="H32" i="164"/>
  <c r="F21" i="200"/>
  <c r="H21" i="200" s="1"/>
  <c r="F19" i="201"/>
  <c r="H19" i="201" s="1"/>
  <c r="F84" i="282" l="1"/>
  <c r="H84" i="282" s="1"/>
  <c r="F86" i="284"/>
  <c r="H86" i="284" s="1"/>
  <c r="F46" i="231"/>
  <c r="H46" i="231" s="1"/>
  <c r="F37" i="224"/>
  <c r="F33" i="164"/>
  <c r="F20" i="201"/>
  <c r="H20" i="201" s="1"/>
  <c r="F22" i="200"/>
  <c r="H22" i="200" s="1"/>
  <c r="F85" i="282" l="1"/>
  <c r="H85" i="282" s="1"/>
  <c r="F87" i="284"/>
  <c r="H87" i="284" s="1"/>
  <c r="F47" i="231"/>
  <c r="H47" i="231" s="1"/>
  <c r="H37" i="224"/>
  <c r="H38" i="224" s="1"/>
  <c r="F39" i="224" s="1"/>
  <c r="H33" i="164"/>
  <c r="F23" i="200"/>
  <c r="F21" i="201"/>
  <c r="H21" i="201" s="1"/>
  <c r="F86" i="282" l="1"/>
  <c r="F88" i="284"/>
  <c r="H88" i="284" s="1"/>
  <c r="H48" i="231"/>
  <c r="F49" i="231" s="1"/>
  <c r="H49" i="231" s="1"/>
  <c r="F50" i="231" s="1"/>
  <c r="H50" i="231" s="1"/>
  <c r="H39" i="224"/>
  <c r="F34" i="164"/>
  <c r="F22" i="201"/>
  <c r="H22" i="201" s="1"/>
  <c r="H23" i="200"/>
  <c r="H86" i="282" l="1"/>
  <c r="F89" i="284"/>
  <c r="H89" i="284" s="1"/>
  <c r="F51" i="231"/>
  <c r="H51" i="231" s="1"/>
  <c r="F40" i="224"/>
  <c r="H40" i="224" s="1"/>
  <c r="H34" i="164"/>
  <c r="H24" i="200"/>
  <c r="F25" i="200" s="1"/>
  <c r="H25" i="200" s="1"/>
  <c r="F23" i="201"/>
  <c r="F90" i="284" l="1"/>
  <c r="F41" i="224"/>
  <c r="F52" i="231"/>
  <c r="H52" i="231" s="1"/>
  <c r="F35" i="164"/>
  <c r="H35" i="164" s="1"/>
  <c r="F26" i="200"/>
  <c r="H26" i="200" s="1"/>
  <c r="H23" i="201"/>
  <c r="H27" i="230"/>
  <c r="F28" i="230" s="1"/>
  <c r="H90" i="284" l="1"/>
  <c r="F53" i="231"/>
  <c r="H53" i="231" s="1"/>
  <c r="H41" i="224"/>
  <c r="F42" i="224" s="1"/>
  <c r="H42" i="224" s="1"/>
  <c r="F36" i="164"/>
  <c r="H36" i="164" s="1"/>
  <c r="F27" i="200"/>
  <c r="H27" i="200" s="1"/>
  <c r="H24" i="201"/>
  <c r="F25" i="201" s="1"/>
  <c r="H25" i="201" s="1"/>
  <c r="H28" i="230"/>
  <c r="F29" i="230" s="1"/>
  <c r="F54" i="231" l="1"/>
  <c r="H54" i="231" s="1"/>
  <c r="F37" i="164"/>
  <c r="F43" i="224"/>
  <c r="H43" i="224" s="1"/>
  <c r="F28" i="200"/>
  <c r="H28" i="200" s="1"/>
  <c r="F26" i="201"/>
  <c r="H26" i="201" s="1"/>
  <c r="H29" i="230"/>
  <c r="F30" i="230" s="1"/>
  <c r="F55" i="231" l="1"/>
  <c r="H37" i="164"/>
  <c r="H38" i="164" s="1"/>
  <c r="F39" i="164" s="1"/>
  <c r="F44" i="224"/>
  <c r="H44" i="224" s="1"/>
  <c r="F29" i="200"/>
  <c r="H29" i="200" s="1"/>
  <c r="F27" i="201"/>
  <c r="H27" i="201" s="1"/>
  <c r="H30" i="230"/>
  <c r="F31" i="230" s="1"/>
  <c r="H55" i="231" l="1"/>
  <c r="F56" i="231" s="1"/>
  <c r="H56" i="231" s="1"/>
  <c r="H39" i="164"/>
  <c r="F45" i="224"/>
  <c r="F28" i="201"/>
  <c r="H28" i="201" s="1"/>
  <c r="F30" i="200"/>
  <c r="H30" i="200" s="1"/>
  <c r="H31" i="230"/>
  <c r="F32" i="230" s="1"/>
  <c r="F57" i="231" l="1"/>
  <c r="H57" i="231" s="1"/>
  <c r="H45" i="224"/>
  <c r="F46" i="224" s="1"/>
  <c r="H46" i="224" s="1"/>
  <c r="F40" i="164"/>
  <c r="H40" i="164" s="1"/>
  <c r="F31" i="200"/>
  <c r="H31" i="200" s="1"/>
  <c r="F29" i="201"/>
  <c r="H29" i="201" s="1"/>
  <c r="H32" i="230"/>
  <c r="F33" i="230" s="1"/>
  <c r="F58" i="231" l="1"/>
  <c r="F41" i="164"/>
  <c r="F47" i="224"/>
  <c r="F30" i="201"/>
  <c r="H30" i="201" s="1"/>
  <c r="F32" i="200"/>
  <c r="H33" i="230"/>
  <c r="F34" i="230" s="1"/>
  <c r="H58" i="231" l="1"/>
  <c r="H47" i="224"/>
  <c r="F48" i="224" s="1"/>
  <c r="H41" i="164"/>
  <c r="H32" i="200"/>
  <c r="F31" i="201"/>
  <c r="H31" i="201" s="1"/>
  <c r="H34" i="230"/>
  <c r="F59" i="231" l="1"/>
  <c r="H59" i="231" s="1"/>
  <c r="H48" i="224"/>
  <c r="F49" i="224" s="1"/>
  <c r="H49" i="224" s="1"/>
  <c r="F42" i="164"/>
  <c r="H42" i="164" s="1"/>
  <c r="F43" i="164" s="1"/>
  <c r="H43" i="164" s="1"/>
  <c r="H35" i="230"/>
  <c r="F36" i="230" s="1"/>
  <c r="F33" i="200"/>
  <c r="F32" i="201"/>
  <c r="F60" i="231" l="1"/>
  <c r="H60" i="231" s="1"/>
  <c r="H50" i="224"/>
  <c r="F44" i="164"/>
  <c r="H44" i="164" s="1"/>
  <c r="H36" i="230"/>
  <c r="H33" i="200"/>
  <c r="F34" i="200" s="1"/>
  <c r="H34" i="200" s="1"/>
  <c r="F35" i="200" s="1"/>
  <c r="H35" i="200" s="1"/>
  <c r="H32" i="201"/>
  <c r="F33" i="201" s="1"/>
  <c r="H33" i="201" s="1"/>
  <c r="F61" i="231" l="1"/>
  <c r="H61" i="231" s="1"/>
  <c r="F51" i="224"/>
  <c r="H51" i="224" s="1"/>
  <c r="F45" i="164"/>
  <c r="F37" i="230"/>
  <c r="H37" i="230" s="1"/>
  <c r="F36" i="200"/>
  <c r="H36" i="200" s="1"/>
  <c r="F34" i="201"/>
  <c r="H34" i="201" s="1"/>
  <c r="F62" i="231" l="1"/>
  <c r="F52" i="224"/>
  <c r="H52" i="224" s="1"/>
  <c r="H45" i="164"/>
  <c r="F46" i="164" s="1"/>
  <c r="H46" i="164" s="1"/>
  <c r="F37" i="200"/>
  <c r="F38" i="230"/>
  <c r="F35" i="201"/>
  <c r="H35" i="201" s="1"/>
  <c r="H62" i="231" l="1"/>
  <c r="F53" i="224"/>
  <c r="H53" i="224" s="1"/>
  <c r="F54" i="224" s="1"/>
  <c r="H37" i="200"/>
  <c r="H38" i="200" s="1"/>
  <c r="F39" i="200" s="1"/>
  <c r="H38" i="230"/>
  <c r="F47" i="164"/>
  <c r="F36" i="201"/>
  <c r="H36" i="201" s="1"/>
  <c r="H63" i="231" l="1"/>
  <c r="F64" i="231" s="1"/>
  <c r="H54" i="224"/>
  <c r="F55" i="224" s="1"/>
  <c r="H55" i="224" s="1"/>
  <c r="F56" i="224" s="1"/>
  <c r="H47" i="164"/>
  <c r="F39" i="230"/>
  <c r="H39" i="230" s="1"/>
  <c r="F37" i="201"/>
  <c r="H39" i="200"/>
  <c r="H64" i="231" l="1"/>
  <c r="F48" i="164"/>
  <c r="H48" i="164" s="1"/>
  <c r="F49" i="164" s="1"/>
  <c r="H49" i="164" s="1"/>
  <c r="H56" i="224"/>
  <c r="F57" i="224" s="1"/>
  <c r="F40" i="230"/>
  <c r="H40" i="230" s="1"/>
  <c r="H37" i="201"/>
  <c r="F40" i="200"/>
  <c r="H40" i="200" s="1"/>
  <c r="F65" i="231" l="1"/>
  <c r="H65" i="231" s="1"/>
  <c r="H57" i="224"/>
  <c r="F58" i="224" s="1"/>
  <c r="H38" i="201"/>
  <c r="F39" i="201" s="1"/>
  <c r="F41" i="230"/>
  <c r="H50" i="164"/>
  <c r="F41" i="200"/>
  <c r="F66" i="231" l="1"/>
  <c r="H66" i="231" s="1"/>
  <c r="F51" i="164"/>
  <c r="H51" i="164" s="1"/>
  <c r="H39" i="201"/>
  <c r="F40" i="201" s="1"/>
  <c r="H40" i="201" s="1"/>
  <c r="H58" i="224"/>
  <c r="F59" i="224" s="1"/>
  <c r="H41" i="200"/>
  <c r="H41" i="230"/>
  <c r="F67" i="231" l="1"/>
  <c r="H67" i="231" s="1"/>
  <c r="F52" i="164"/>
  <c r="H52" i="164" s="1"/>
  <c r="H59" i="224"/>
  <c r="F60" i="224" s="1"/>
  <c r="F42" i="200"/>
  <c r="H42" i="200" s="1"/>
  <c r="F43" i="200" s="1"/>
  <c r="H43" i="200" s="1"/>
  <c r="F42" i="230"/>
  <c r="F41" i="201"/>
  <c r="F68" i="231" l="1"/>
  <c r="F53" i="164"/>
  <c r="H53" i="164" s="1"/>
  <c r="H60" i="224"/>
  <c r="F61" i="224" s="1"/>
  <c r="H42" i="230"/>
  <c r="H41" i="201"/>
  <c r="F44" i="200"/>
  <c r="H44" i="200" s="1"/>
  <c r="H68" i="231" l="1"/>
  <c r="F54" i="164"/>
  <c r="H54" i="164" s="1"/>
  <c r="H61" i="224"/>
  <c r="F62" i="224" s="1"/>
  <c r="F42" i="201"/>
  <c r="H42" i="201" s="1"/>
  <c r="F43" i="201" s="1"/>
  <c r="H43" i="201" s="1"/>
  <c r="F43" i="230"/>
  <c r="F45" i="200"/>
  <c r="F69" i="231" l="1"/>
  <c r="H69" i="231" s="1"/>
  <c r="F70" i="231" s="1"/>
  <c r="H70" i="231" s="1"/>
  <c r="F55" i="164"/>
  <c r="H55" i="164" s="1"/>
  <c r="H62" i="224"/>
  <c r="H63" i="224" s="1"/>
  <c r="H45" i="200"/>
  <c r="H43" i="230"/>
  <c r="F44" i="201"/>
  <c r="H44" i="201" s="1"/>
  <c r="F64" i="224" l="1"/>
  <c r="H64" i="224" s="1"/>
  <c r="F71" i="231"/>
  <c r="F56" i="164"/>
  <c r="H56" i="164" s="1"/>
  <c r="F46" i="200"/>
  <c r="H46" i="200" s="1"/>
  <c r="F47" i="200" s="1"/>
  <c r="F44" i="230"/>
  <c r="H44" i="230" s="1"/>
  <c r="F45" i="201"/>
  <c r="F65" i="224" l="1"/>
  <c r="H65" i="224" s="1"/>
  <c r="H71" i="231"/>
  <c r="F57" i="164"/>
  <c r="H57" i="164" s="1"/>
  <c r="H47" i="200"/>
  <c r="F48" i="200" s="1"/>
  <c r="H48" i="200" s="1"/>
  <c r="H45" i="201"/>
  <c r="F46" i="201" s="1"/>
  <c r="H46" i="201" s="1"/>
  <c r="F45" i="230"/>
  <c r="F66" i="224" l="1"/>
  <c r="H66" i="224" s="1"/>
  <c r="F72" i="231"/>
  <c r="H72" i="231" s="1"/>
  <c r="F73" i="231" s="1"/>
  <c r="H73" i="231" s="1"/>
  <c r="F58" i="164"/>
  <c r="H45" i="230"/>
  <c r="F47" i="201"/>
  <c r="F49" i="200"/>
  <c r="F67" i="224" l="1"/>
  <c r="H67" i="224" s="1"/>
  <c r="F68" i="224" s="1"/>
  <c r="H68" i="224" s="1"/>
  <c r="F74" i="231"/>
  <c r="H58" i="164"/>
  <c r="H49" i="200"/>
  <c r="H47" i="201"/>
  <c r="F48" i="201" s="1"/>
  <c r="H48" i="201" s="1"/>
  <c r="F46" i="230"/>
  <c r="H46" i="230" s="1"/>
  <c r="F47" i="230" s="1"/>
  <c r="H74" i="231" l="1"/>
  <c r="F75" i="231" s="1"/>
  <c r="H75" i="231" s="1"/>
  <c r="F69" i="224"/>
  <c r="H69" i="224" s="1"/>
  <c r="F59" i="164"/>
  <c r="H59" i="164" s="1"/>
  <c r="H50" i="200"/>
  <c r="H47" i="230"/>
  <c r="H48" i="230" s="1"/>
  <c r="F49" i="230" s="1"/>
  <c r="H49" i="230" s="1"/>
  <c r="F49" i="201"/>
  <c r="H49" i="201" s="1"/>
  <c r="H76" i="231" l="1"/>
  <c r="F70" i="224"/>
  <c r="H70" i="224" s="1"/>
  <c r="F60" i="164"/>
  <c r="H60" i="164" s="1"/>
  <c r="F51" i="200"/>
  <c r="H51" i="200" s="1"/>
  <c r="F50" i="230"/>
  <c r="H50" i="230" s="1"/>
  <c r="H50" i="201"/>
  <c r="F51" i="201" s="1"/>
  <c r="F77" i="231" l="1"/>
  <c r="F71" i="224"/>
  <c r="H71" i="224" s="1"/>
  <c r="F61" i="164"/>
  <c r="F52" i="200"/>
  <c r="H52" i="200" s="1"/>
  <c r="F53" i="200" s="1"/>
  <c r="H51" i="201"/>
  <c r="F52" i="201" s="1"/>
  <c r="F51" i="230"/>
  <c r="H51" i="230" s="1"/>
  <c r="H77" i="231" l="1"/>
  <c r="F72" i="224"/>
  <c r="H61" i="164"/>
  <c r="F62" i="164" s="1"/>
  <c r="H62" i="164" s="1"/>
  <c r="H63" i="164" s="1"/>
  <c r="H53" i="200"/>
  <c r="F54" i="200" s="1"/>
  <c r="H54" i="200" s="1"/>
  <c r="F55" i="200" s="1"/>
  <c r="H52" i="201"/>
  <c r="F53" i="201" s="1"/>
  <c r="F52" i="230"/>
  <c r="H52" i="230" s="1"/>
  <c r="F78" i="231" l="1"/>
  <c r="H78" i="231" s="1"/>
  <c r="F64" i="164"/>
  <c r="H64" i="164" s="1"/>
  <c r="H72" i="224"/>
  <c r="F53" i="230"/>
  <c r="H55" i="200"/>
  <c r="F56" i="200" s="1"/>
  <c r="H53" i="201"/>
  <c r="F54" i="201" s="1"/>
  <c r="F79" i="231" l="1"/>
  <c r="F65" i="164"/>
  <c r="H65" i="164" s="1"/>
  <c r="F73" i="224"/>
  <c r="H73" i="224" s="1"/>
  <c r="H53" i="230"/>
  <c r="F54" i="230" s="1"/>
  <c r="H54" i="230" s="1"/>
  <c r="H54" i="201"/>
  <c r="F55" i="201" s="1"/>
  <c r="H56" i="200"/>
  <c r="F57" i="200" s="1"/>
  <c r="H79" i="231" l="1"/>
  <c r="F80" i="231" s="1"/>
  <c r="H80" i="231" s="1"/>
  <c r="F81" i="231" s="1"/>
  <c r="H81" i="231" s="1"/>
  <c r="F74" i="224"/>
  <c r="F66" i="164"/>
  <c r="H66" i="164" s="1"/>
  <c r="F55" i="230"/>
  <c r="H57" i="200"/>
  <c r="F58" i="200" s="1"/>
  <c r="H55" i="201"/>
  <c r="F56" i="201" s="1"/>
  <c r="F82" i="231" l="1"/>
  <c r="H82" i="231" s="1"/>
  <c r="H74" i="224"/>
  <c r="F67" i="164"/>
  <c r="H67" i="164" s="1"/>
  <c r="H55" i="230"/>
  <c r="H56" i="201"/>
  <c r="F57" i="201" s="1"/>
  <c r="H58" i="200"/>
  <c r="F59" i="200" s="1"/>
  <c r="F75" i="224" l="1"/>
  <c r="H75" i="224" s="1"/>
  <c r="F56" i="230"/>
  <c r="H56" i="230" s="1"/>
  <c r="F83" i="231"/>
  <c r="H83" i="231" s="1"/>
  <c r="F68" i="164"/>
  <c r="H68" i="164" s="1"/>
  <c r="H59" i="200"/>
  <c r="F60" i="200" s="1"/>
  <c r="H57" i="201"/>
  <c r="F58" i="201" s="1"/>
  <c r="H76" i="224" l="1"/>
  <c r="F77" i="224" s="1"/>
  <c r="H77" i="224" s="1"/>
  <c r="F57" i="230"/>
  <c r="H57" i="230" s="1"/>
  <c r="F58" i="230" s="1"/>
  <c r="F84" i="231"/>
  <c r="F69" i="164"/>
  <c r="H69" i="164" s="1"/>
  <c r="H58" i="201"/>
  <c r="F59" i="201" s="1"/>
  <c r="H60" i="200"/>
  <c r="F61" i="200" s="1"/>
  <c r="H84" i="231" l="1"/>
  <c r="F85" i="231" s="1"/>
  <c r="H85" i="231" s="1"/>
  <c r="F78" i="224"/>
  <c r="H78" i="224" s="1"/>
  <c r="F70" i="164"/>
  <c r="H70" i="164" s="1"/>
  <c r="H58" i="230"/>
  <c r="H61" i="200"/>
  <c r="F62" i="200" s="1"/>
  <c r="H59" i="201"/>
  <c r="F60" i="201" s="1"/>
  <c r="F79" i="224" l="1"/>
  <c r="F86" i="231"/>
  <c r="H86" i="231" s="1"/>
  <c r="F71" i="164"/>
  <c r="H71" i="164" s="1"/>
  <c r="F59" i="230"/>
  <c r="H59" i="230" s="1"/>
  <c r="H62" i="200"/>
  <c r="H60" i="201"/>
  <c r="F61" i="201" s="1"/>
  <c r="H79" i="224" l="1"/>
  <c r="F87" i="231"/>
  <c r="H63" i="200"/>
  <c r="F72" i="164"/>
  <c r="F60" i="230"/>
  <c r="H60" i="230" s="1"/>
  <c r="H61" i="201"/>
  <c r="F62" i="201" s="1"/>
  <c r="H87" i="231" l="1"/>
  <c r="F80" i="224"/>
  <c r="H72" i="164"/>
  <c r="F64" i="200"/>
  <c r="H64" i="200" s="1"/>
  <c r="F61" i="230"/>
  <c r="H62" i="201"/>
  <c r="H63" i="201" s="1"/>
  <c r="F88" i="231" l="1"/>
  <c r="H88" i="231" s="1"/>
  <c r="H89" i="231" s="1"/>
  <c r="F90" i="231" s="1"/>
  <c r="H90" i="231" s="1"/>
  <c r="H80" i="224"/>
  <c r="F81" i="224" s="1"/>
  <c r="H81" i="224" s="1"/>
  <c r="F65" i="200"/>
  <c r="H65" i="200" s="1"/>
  <c r="F64" i="201"/>
  <c r="H64" i="201" s="1"/>
  <c r="F73" i="164"/>
  <c r="H61" i="230"/>
  <c r="F91" i="231" l="1"/>
  <c r="H91" i="231" s="1"/>
  <c r="F82" i="224"/>
  <c r="H73" i="164"/>
  <c r="F65" i="201"/>
  <c r="H65" i="201" s="1"/>
  <c r="F66" i="200"/>
  <c r="H66" i="200" s="1"/>
  <c r="F62" i="230"/>
  <c r="F92" i="231" l="1"/>
  <c r="H92" i="231" s="1"/>
  <c r="F74" i="164"/>
  <c r="H74" i="164" s="1"/>
  <c r="F75" i="164" s="1"/>
  <c r="H75" i="164" s="1"/>
  <c r="H82" i="224"/>
  <c r="F83" i="224" s="1"/>
  <c r="H83" i="224" s="1"/>
  <c r="F66" i="201"/>
  <c r="H66" i="201" s="1"/>
  <c r="F67" i="200"/>
  <c r="H67" i="200" s="1"/>
  <c r="H62" i="230"/>
  <c r="F93" i="231" l="1"/>
  <c r="F84" i="224"/>
  <c r="H76" i="164"/>
  <c r="F77" i="164" s="1"/>
  <c r="H77" i="164" s="1"/>
  <c r="F68" i="200"/>
  <c r="H68" i="200" s="1"/>
  <c r="F67" i="201"/>
  <c r="H67" i="201" s="1"/>
  <c r="H63" i="230"/>
  <c r="F64" i="230" s="1"/>
  <c r="H93" i="231" l="1"/>
  <c r="F94" i="231" s="1"/>
  <c r="H84" i="224"/>
  <c r="F78" i="164"/>
  <c r="F68" i="201"/>
  <c r="H68" i="201" s="1"/>
  <c r="H64" i="230"/>
  <c r="F69" i="200"/>
  <c r="H69" i="200" s="1"/>
  <c r="H94" i="231" l="1"/>
  <c r="F95" i="231" s="1"/>
  <c r="H95" i="231" s="1"/>
  <c r="F96" i="231" s="1"/>
  <c r="F85" i="224"/>
  <c r="H85" i="224" s="1"/>
  <c r="F86" i="224" s="1"/>
  <c r="H86" i="224" s="1"/>
  <c r="H78" i="164"/>
  <c r="F79" i="164" s="1"/>
  <c r="H79" i="164" s="1"/>
  <c r="F65" i="230"/>
  <c r="H65" i="230" s="1"/>
  <c r="F70" i="200"/>
  <c r="H70" i="200" s="1"/>
  <c r="F69" i="201"/>
  <c r="H69" i="201" s="1"/>
  <c r="H96" i="231" l="1"/>
  <c r="F97" i="231" s="1"/>
  <c r="F87" i="224"/>
  <c r="F80" i="164"/>
  <c r="H80" i="164" s="1"/>
  <c r="F66" i="230"/>
  <c r="H66" i="230" s="1"/>
  <c r="F67" i="230" s="1"/>
  <c r="F71" i="200"/>
  <c r="H71" i="200" s="1"/>
  <c r="F70" i="201"/>
  <c r="H70" i="201" s="1"/>
  <c r="H97" i="231" l="1"/>
  <c r="F98" i="231" s="1"/>
  <c r="H87" i="224"/>
  <c r="F88" i="224" s="1"/>
  <c r="H88" i="224" s="1"/>
  <c r="H89" i="224" s="1"/>
  <c r="F81" i="164"/>
  <c r="F71" i="201"/>
  <c r="H71" i="201" s="1"/>
  <c r="F72" i="200"/>
  <c r="H67" i="230"/>
  <c r="F68" i="230" s="1"/>
  <c r="F90" i="224" l="1"/>
  <c r="H90" i="224" s="1"/>
  <c r="H98" i="231"/>
  <c r="F99" i="231" s="1"/>
  <c r="H81" i="164"/>
  <c r="F82" i="164" s="1"/>
  <c r="H82" i="164" s="1"/>
  <c r="H72" i="200"/>
  <c r="F72" i="201"/>
  <c r="H68" i="230"/>
  <c r="F69" i="230" s="1"/>
  <c r="F91" i="224" l="1"/>
  <c r="H99" i="231"/>
  <c r="F100" i="231" s="1"/>
  <c r="F83" i="164"/>
  <c r="H83" i="164" s="1"/>
  <c r="H72" i="201"/>
  <c r="F73" i="200"/>
  <c r="H73" i="200" s="1"/>
  <c r="H69" i="230"/>
  <c r="F70" i="230" s="1"/>
  <c r="H91" i="224" l="1"/>
  <c r="F92" i="224" s="1"/>
  <c r="H92" i="224" s="1"/>
  <c r="H100" i="231"/>
  <c r="F101" i="231" s="1"/>
  <c r="F84" i="164"/>
  <c r="F74" i="200"/>
  <c r="F73" i="201"/>
  <c r="H73" i="201" s="1"/>
  <c r="H70" i="230"/>
  <c r="F71" i="230" s="1"/>
  <c r="F93" i="224" l="1"/>
  <c r="H101" i="231"/>
  <c r="H84" i="164"/>
  <c r="H74" i="200"/>
  <c r="F74" i="201"/>
  <c r="H71" i="230"/>
  <c r="F72" i="230" s="1"/>
  <c r="H102" i="231" l="1"/>
  <c r="H93" i="224"/>
  <c r="F94" i="224" s="1"/>
  <c r="H94" i="224" s="1"/>
  <c r="F85" i="164"/>
  <c r="H85" i="164" s="1"/>
  <c r="F86" i="164" s="1"/>
  <c r="H86" i="164" s="1"/>
  <c r="F75" i="200"/>
  <c r="H75" i="200" s="1"/>
  <c r="H74" i="201"/>
  <c r="F75" i="201" s="1"/>
  <c r="H75" i="201" s="1"/>
  <c r="H72" i="230"/>
  <c r="F73" i="230" s="1"/>
  <c r="F103" i="231" l="1"/>
  <c r="F95" i="224"/>
  <c r="H95" i="224" s="1"/>
  <c r="H76" i="200"/>
  <c r="F77" i="200" s="1"/>
  <c r="H77" i="200" s="1"/>
  <c r="F87" i="164"/>
  <c r="H76" i="201"/>
  <c r="F77" i="201" s="1"/>
  <c r="H77" i="201" s="1"/>
  <c r="H73" i="230"/>
  <c r="F74" i="230" s="1"/>
  <c r="H103" i="231" l="1"/>
  <c r="F96" i="224"/>
  <c r="H96" i="224" s="1"/>
  <c r="H87" i="164"/>
  <c r="F88" i="164" s="1"/>
  <c r="H88" i="164" s="1"/>
  <c r="H89" i="164" s="1"/>
  <c r="F90" i="164" s="1"/>
  <c r="F78" i="200"/>
  <c r="F78" i="201"/>
  <c r="H74" i="230"/>
  <c r="F75" i="230" s="1"/>
  <c r="F104" i="231" l="1"/>
  <c r="H90" i="164"/>
  <c r="F97" i="224"/>
  <c r="H97" i="224" s="1"/>
  <c r="H78" i="201"/>
  <c r="F79" i="201" s="1"/>
  <c r="H79" i="201" s="1"/>
  <c r="H78" i="200"/>
  <c r="F79" i="200" s="1"/>
  <c r="H75" i="230"/>
  <c r="H104" i="231" l="1"/>
  <c r="F98" i="224"/>
  <c r="H98" i="224" s="1"/>
  <c r="F91" i="164"/>
  <c r="H79" i="200"/>
  <c r="F80" i="200" s="1"/>
  <c r="H80" i="200" s="1"/>
  <c r="F80" i="201"/>
  <c r="H80" i="201" s="1"/>
  <c r="H76" i="230"/>
  <c r="F105" i="231" l="1"/>
  <c r="H91" i="164"/>
  <c r="F92" i="164" s="1"/>
  <c r="H92" i="164" s="1"/>
  <c r="F99" i="224"/>
  <c r="H99" i="224" s="1"/>
  <c r="F81" i="201"/>
  <c r="F81" i="200"/>
  <c r="F77" i="230"/>
  <c r="H105" i="231" l="1"/>
  <c r="F100" i="224"/>
  <c r="H100" i="224" s="1"/>
  <c r="F93" i="164"/>
  <c r="H81" i="201"/>
  <c r="H81" i="200"/>
  <c r="F82" i="200" s="1"/>
  <c r="H82" i="200" s="1"/>
  <c r="H77" i="230"/>
  <c r="F106" i="231" l="1"/>
  <c r="H106" i="231" s="1"/>
  <c r="F107" i="231" s="1"/>
  <c r="H107" i="231" s="1"/>
  <c r="H93" i="164"/>
  <c r="F94" i="164" s="1"/>
  <c r="H94" i="164" s="1"/>
  <c r="F101" i="224"/>
  <c r="H101" i="224" s="1"/>
  <c r="F82" i="201"/>
  <c r="H82" i="201" s="1"/>
  <c r="F78" i="230"/>
  <c r="H78" i="230" s="1"/>
  <c r="F83" i="200"/>
  <c r="H83" i="200" s="1"/>
  <c r="F108" i="231" l="1"/>
  <c r="H108" i="231" s="1"/>
  <c r="H102" i="224"/>
  <c r="F103" i="224" s="1"/>
  <c r="H103" i="224" s="1"/>
  <c r="F95" i="164"/>
  <c r="H95" i="164" s="1"/>
  <c r="F83" i="201"/>
  <c r="H83" i="201" s="1"/>
  <c r="F84" i="201" s="1"/>
  <c r="F79" i="230"/>
  <c r="H79" i="230" s="1"/>
  <c r="F84" i="200"/>
  <c r="F109" i="231" l="1"/>
  <c r="H109" i="231" s="1"/>
  <c r="F104" i="224"/>
  <c r="H104" i="224" s="1"/>
  <c r="F96" i="164"/>
  <c r="H96" i="164" s="1"/>
  <c r="H84" i="200"/>
  <c r="H84" i="201"/>
  <c r="F85" i="201" s="1"/>
  <c r="H85" i="201" s="1"/>
  <c r="F80" i="230"/>
  <c r="F110" i="231" l="1"/>
  <c r="H110" i="231" s="1"/>
  <c r="F105" i="224"/>
  <c r="H105" i="224" s="1"/>
  <c r="F85" i="200"/>
  <c r="H85" i="200" s="1"/>
  <c r="F86" i="200" s="1"/>
  <c r="H86" i="200" s="1"/>
  <c r="F97" i="164"/>
  <c r="H97" i="164" s="1"/>
  <c r="H80" i="230"/>
  <c r="F86" i="201"/>
  <c r="H86" i="201" s="1"/>
  <c r="F111" i="231" l="1"/>
  <c r="F106" i="224"/>
  <c r="H106" i="224" s="1"/>
  <c r="F98" i="164"/>
  <c r="H98" i="164" s="1"/>
  <c r="F81" i="230"/>
  <c r="H81" i="230" s="1"/>
  <c r="F87" i="200"/>
  <c r="F87" i="201"/>
  <c r="H111" i="231" l="1"/>
  <c r="F107" i="224"/>
  <c r="H107" i="224" s="1"/>
  <c r="F99" i="164"/>
  <c r="H99" i="164" s="1"/>
  <c r="H87" i="201"/>
  <c r="F88" i="201" s="1"/>
  <c r="H88" i="201" s="1"/>
  <c r="H89" i="201" s="1"/>
  <c r="H87" i="200"/>
  <c r="H82" i="230"/>
  <c r="F112" i="231" l="1"/>
  <c r="H112" i="231" s="1"/>
  <c r="F108" i="224"/>
  <c r="H108" i="224" s="1"/>
  <c r="F88" i="200"/>
  <c r="H88" i="200" s="1"/>
  <c r="F90" i="201"/>
  <c r="H90" i="201" s="1"/>
  <c r="F100" i="164"/>
  <c r="H100" i="164" s="1"/>
  <c r="F83" i="230"/>
  <c r="H83" i="230" s="1"/>
  <c r="F113" i="231" l="1"/>
  <c r="H113" i="231" s="1"/>
  <c r="F109" i="224"/>
  <c r="H109" i="224" s="1"/>
  <c r="H89" i="200"/>
  <c r="F90" i="200" s="1"/>
  <c r="H90" i="200" s="1"/>
  <c r="F91" i="200" s="1"/>
  <c r="F101" i="164"/>
  <c r="H101" i="164" s="1"/>
  <c r="F91" i="201"/>
  <c r="F84" i="230"/>
  <c r="H84" i="230" s="1"/>
  <c r="F114" i="231" l="1"/>
  <c r="H114" i="231" s="1"/>
  <c r="H102" i="164"/>
  <c r="F110" i="224"/>
  <c r="H110" i="224" s="1"/>
  <c r="H91" i="201"/>
  <c r="F92" i="201" s="1"/>
  <c r="H91" i="200"/>
  <c r="F92" i="200" s="1"/>
  <c r="H92" i="200" s="1"/>
  <c r="F85" i="230"/>
  <c r="H115" i="231" l="1"/>
  <c r="F116" i="231" s="1"/>
  <c r="H116" i="231" s="1"/>
  <c r="F111" i="224"/>
  <c r="H111" i="224" s="1"/>
  <c r="F103" i="164"/>
  <c r="H92" i="201"/>
  <c r="F93" i="201" s="1"/>
  <c r="H93" i="201" s="1"/>
  <c r="F93" i="200"/>
  <c r="H85" i="230"/>
  <c r="F117" i="231" l="1"/>
  <c r="H117" i="231" s="1"/>
  <c r="H103" i="164"/>
  <c r="F112" i="224"/>
  <c r="H112" i="224" s="1"/>
  <c r="H93" i="200"/>
  <c r="F94" i="200" s="1"/>
  <c r="H94" i="200" s="1"/>
  <c r="F94" i="201"/>
  <c r="H94" i="201" s="1"/>
  <c r="F86" i="230"/>
  <c r="F118" i="231" l="1"/>
  <c r="F104" i="164"/>
  <c r="H104" i="164" s="1"/>
  <c r="F113" i="224"/>
  <c r="H113" i="224" s="1"/>
  <c r="F95" i="201"/>
  <c r="H95" i="201" s="1"/>
  <c r="F95" i="200"/>
  <c r="H95" i="200" s="1"/>
  <c r="H86" i="230"/>
  <c r="H118" i="231" l="1"/>
  <c r="F105" i="164"/>
  <c r="H105" i="164" s="1"/>
  <c r="F114" i="224"/>
  <c r="F96" i="200"/>
  <c r="F87" i="230"/>
  <c r="H87" i="230" s="1"/>
  <c r="F96" i="201"/>
  <c r="H96" i="201" s="1"/>
  <c r="F119" i="231" l="1"/>
  <c r="H114" i="224"/>
  <c r="F106" i="164"/>
  <c r="H106" i="164" s="1"/>
  <c r="H96" i="200"/>
  <c r="F97" i="201"/>
  <c r="H97" i="201" s="1"/>
  <c r="F88" i="230"/>
  <c r="H88" i="230" s="1"/>
  <c r="H119" i="231" l="1"/>
  <c r="F120" i="231" s="1"/>
  <c r="H120" i="231" s="1"/>
  <c r="H115" i="224"/>
  <c r="F116" i="224" s="1"/>
  <c r="F107" i="164"/>
  <c r="H107" i="164" s="1"/>
  <c r="F97" i="200"/>
  <c r="H97" i="200" s="1"/>
  <c r="F89" i="230"/>
  <c r="F98" i="201"/>
  <c r="H98" i="201" s="1"/>
  <c r="F121" i="231" l="1"/>
  <c r="H121" i="231" s="1"/>
  <c r="H116" i="224"/>
  <c r="F117" i="224" s="1"/>
  <c r="H117" i="224" s="1"/>
  <c r="F108" i="164"/>
  <c r="H108" i="164" s="1"/>
  <c r="F98" i="200"/>
  <c r="H98" i="200" s="1"/>
  <c r="F99" i="200" s="1"/>
  <c r="H99" i="200" s="1"/>
  <c r="H89" i="230"/>
  <c r="F99" i="201"/>
  <c r="H99" i="201" s="1"/>
  <c r="F122" i="231" l="1"/>
  <c r="F118" i="224"/>
  <c r="H118" i="224" s="1"/>
  <c r="F109" i="164"/>
  <c r="H109" i="164" s="1"/>
  <c r="F110" i="164" s="1"/>
  <c r="H110" i="164" s="1"/>
  <c r="H90" i="230"/>
  <c r="F91" i="230" s="1"/>
  <c r="H91" i="230" s="1"/>
  <c r="F100" i="201"/>
  <c r="H100" i="201" s="1"/>
  <c r="F100" i="200"/>
  <c r="H100" i="200" s="1"/>
  <c r="H122" i="231" l="1"/>
  <c r="F123" i="231"/>
  <c r="H123" i="231" s="1"/>
  <c r="F119" i="224"/>
  <c r="H119" i="224" s="1"/>
  <c r="F111" i="164"/>
  <c r="H111" i="164" s="1"/>
  <c r="F92" i="230"/>
  <c r="F101" i="200"/>
  <c r="H101" i="200" s="1"/>
  <c r="F101" i="201"/>
  <c r="H101" i="201" s="1"/>
  <c r="F120" i="224" l="1"/>
  <c r="H120" i="224" s="1"/>
  <c r="H102" i="201"/>
  <c r="F103" i="201" s="1"/>
  <c r="H103" i="201" s="1"/>
  <c r="H102" i="200"/>
  <c r="F103" i="200" s="1"/>
  <c r="H103" i="200" s="1"/>
  <c r="F112" i="164"/>
  <c r="H112" i="164" s="1"/>
  <c r="H92" i="230"/>
  <c r="F93" i="230" s="1"/>
  <c r="F121" i="224" l="1"/>
  <c r="H121" i="224" s="1"/>
  <c r="F113" i="164"/>
  <c r="H113" i="164" s="1"/>
  <c r="F104" i="200"/>
  <c r="F104" i="201"/>
  <c r="H93" i="230"/>
  <c r="F94" i="230" s="1"/>
  <c r="H94" i="230" s="1"/>
  <c r="F122" i="224" l="1"/>
  <c r="H122" i="224" s="1"/>
  <c r="H104" i="201"/>
  <c r="H104" i="200"/>
  <c r="F105" i="200" s="1"/>
  <c r="H105" i="200" s="1"/>
  <c r="F114" i="164"/>
  <c r="F95" i="230"/>
  <c r="F123" i="224" l="1"/>
  <c r="H114" i="164"/>
  <c r="F105" i="201"/>
  <c r="F106" i="200"/>
  <c r="H106" i="200" s="1"/>
  <c r="H95" i="230"/>
  <c r="F96" i="230" s="1"/>
  <c r="H96" i="230" s="1"/>
  <c r="H123" i="224" l="1"/>
  <c r="H115" i="164"/>
  <c r="F116" i="164" s="1"/>
  <c r="H116" i="164" s="1"/>
  <c r="H105" i="201"/>
  <c r="F106" i="201" s="1"/>
  <c r="H106" i="201" s="1"/>
  <c r="F107" i="201" s="1"/>
  <c r="H107" i="201" s="1"/>
  <c r="F107" i="200"/>
  <c r="H107" i="200" s="1"/>
  <c r="F97" i="230"/>
  <c r="H97" i="230" s="1"/>
  <c r="F117" i="164" l="1"/>
  <c r="H117" i="164" s="1"/>
  <c r="F108" i="201"/>
  <c r="H108" i="201" s="1"/>
  <c r="F108" i="200"/>
  <c r="H108" i="200" s="1"/>
  <c r="F98" i="230"/>
  <c r="H98" i="230" s="1"/>
  <c r="F118" i="164" l="1"/>
  <c r="H118" i="164" s="1"/>
  <c r="F109" i="200"/>
  <c r="H109" i="200" s="1"/>
  <c r="F109" i="201"/>
  <c r="H109" i="201" s="1"/>
  <c r="F99" i="230"/>
  <c r="H99" i="230" s="1"/>
  <c r="F119" i="164" l="1"/>
  <c r="H119" i="164" s="1"/>
  <c r="F110" i="200"/>
  <c r="H110" i="200" s="1"/>
  <c r="F110" i="201"/>
  <c r="H110" i="201" s="1"/>
  <c r="F100" i="230"/>
  <c r="H100" i="230" s="1"/>
  <c r="F120" i="164" l="1"/>
  <c r="H120" i="164" s="1"/>
  <c r="F111" i="201"/>
  <c r="H111" i="201" s="1"/>
  <c r="F111" i="200"/>
  <c r="H111" i="200" s="1"/>
  <c r="F101" i="230"/>
  <c r="H101" i="230" s="1"/>
  <c r="F121" i="164" l="1"/>
  <c r="H121" i="164" s="1"/>
  <c r="F112" i="201"/>
  <c r="H112" i="201" s="1"/>
  <c r="F112" i="200"/>
  <c r="H112" i="200" s="1"/>
  <c r="F102" i="230"/>
  <c r="H102" i="230" s="1"/>
  <c r="F122" i="164" l="1"/>
  <c r="H122" i="164" s="1"/>
  <c r="F113" i="200"/>
  <c r="H113" i="200" s="1"/>
  <c r="F113" i="201"/>
  <c r="H113" i="201" s="1"/>
  <c r="H103" i="230"/>
  <c r="F123" i="164" l="1"/>
  <c r="F114" i="201"/>
  <c r="F114" i="200"/>
  <c r="F104" i="230"/>
  <c r="H123" i="164" l="1"/>
  <c r="H114" i="201"/>
  <c r="H115" i="201" s="1"/>
  <c r="F116" i="201" s="1"/>
  <c r="H116" i="201" s="1"/>
  <c r="H114" i="200"/>
  <c r="H104" i="230"/>
  <c r="H115" i="200" l="1"/>
  <c r="F116" i="200" s="1"/>
  <c r="H116" i="200" s="1"/>
  <c r="F117" i="201"/>
  <c r="H117" i="201" s="1"/>
  <c r="F105" i="230"/>
  <c r="H105" i="230" s="1"/>
  <c r="F106" i="230" s="1"/>
  <c r="H106" i="230" s="1"/>
  <c r="F117" i="200" l="1"/>
  <c r="H117" i="200" s="1"/>
  <c r="F118" i="201"/>
  <c r="H118" i="201" s="1"/>
  <c r="F107" i="230"/>
  <c r="H107" i="230" s="1"/>
  <c r="F118" i="200" l="1"/>
  <c r="H118" i="200" s="1"/>
  <c r="F119" i="201"/>
  <c r="H119" i="201" s="1"/>
  <c r="F108" i="230"/>
  <c r="H108" i="230" s="1"/>
  <c r="F119" i="200" l="1"/>
  <c r="H119" i="200" s="1"/>
  <c r="F120" i="201"/>
  <c r="H120" i="201" s="1"/>
  <c r="F109" i="230"/>
  <c r="H109" i="230" s="1"/>
  <c r="F120" i="200" l="1"/>
  <c r="H120" i="200" s="1"/>
  <c r="F121" i="201"/>
  <c r="H121" i="201" s="1"/>
  <c r="F110" i="230"/>
  <c r="H110" i="230" s="1"/>
  <c r="F121" i="200" l="1"/>
  <c r="H121" i="200" s="1"/>
  <c r="F122" i="201"/>
  <c r="H122" i="201" s="1"/>
  <c r="F111" i="230"/>
  <c r="H111" i="230" s="1"/>
  <c r="F122" i="200" l="1"/>
  <c r="H122" i="200" s="1"/>
  <c r="F123" i="201"/>
  <c r="F112" i="230"/>
  <c r="H112" i="230" s="1"/>
  <c r="F123" i="200" l="1"/>
  <c r="H123" i="201"/>
  <c r="F113" i="230"/>
  <c r="H113" i="230" s="1"/>
  <c r="H123" i="200" l="1"/>
  <c r="F114" i="230"/>
  <c r="H114" i="230" s="1"/>
  <c r="F115" i="230" l="1"/>
  <c r="H115" i="230" l="1"/>
  <c r="H116" i="230" l="1"/>
  <c r="F117" i="230" s="1"/>
  <c r="H117" i="230" s="1"/>
  <c r="F118" i="230" l="1"/>
  <c r="H118" i="230" s="1"/>
  <c r="F119" i="230" l="1"/>
  <c r="H119" i="230" s="1"/>
  <c r="F120" i="230" l="1"/>
  <c r="H120" i="230" s="1"/>
  <c r="F121" i="230" l="1"/>
  <c r="H121" i="230" s="1"/>
  <c r="F122" i="230" l="1"/>
  <c r="H122" i="230" l="1"/>
  <c r="H123" i="230" s="1"/>
  <c r="F124" i="230" l="1"/>
  <c r="H124" i="230" s="1"/>
  <c r="F125" i="230" s="1"/>
  <c r="H125" i="230" s="1"/>
</calcChain>
</file>

<file path=xl/sharedStrings.xml><?xml version="1.0" encoding="utf-8"?>
<sst xmlns="http://schemas.openxmlformats.org/spreadsheetml/2006/main" count="1176" uniqueCount="342">
  <si>
    <t>Adjustments</t>
  </si>
  <si>
    <t>Deferred Balance</t>
  </si>
  <si>
    <t>Interest</t>
  </si>
  <si>
    <t>Total</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</si>
  <si>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</si>
  <si>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</si>
  <si>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</si>
  <si>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</si>
  <si>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</si>
  <si>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</si>
  <si>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</si>
  <si>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</si>
  <si>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</si>
  <si>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</si>
  <si>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</si>
  <si>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</si>
  <si>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</si>
  <si>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</si>
  <si>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</si>
  <si>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</si>
  <si>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</si>
  <si>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</si>
  <si>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</si>
  <si>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</si>
  <si>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</si>
  <si>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 xml:space="preserve">Washington Residential Conservation Program </t>
  </si>
  <si>
    <t>47WA.6011.28051</t>
  </si>
  <si>
    <t>47WA.4002.4800</t>
  </si>
  <si>
    <t>47WA.4002.4810</t>
  </si>
  <si>
    <t>47WA.4002.4809</t>
  </si>
  <si>
    <t>N/A</t>
  </si>
  <si>
    <t>Environmental Remediation of the Old Bremerton Gas Works and Sesko Property Site</t>
  </si>
  <si>
    <t>47WA.1860.20460</t>
  </si>
  <si>
    <t>Prorated</t>
  </si>
  <si>
    <t>Commercial [4810]</t>
  </si>
  <si>
    <t>Residential [4800]</t>
  </si>
  <si>
    <t>Industrial [4809]</t>
  </si>
  <si>
    <t>47WA.4002.4811</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</si>
  <si>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</si>
  <si>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</si>
  <si>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</si>
  <si>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</si>
  <si>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</si>
  <si>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</si>
  <si>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</si>
  <si>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4/9/2010- date determination of cleanup has been completed</t>
  </si>
  <si>
    <t>To record deferrals for expenses related to the old Bremerton Gas Works and Sesko property site per accounting order UG-100589. [This is for expenses only and will not tie to the G/L balance].</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</si>
  <si>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</si>
  <si>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</si>
  <si>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</si>
  <si>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</si>
  <si>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</si>
  <si>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</si>
  <si>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</si>
  <si>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</si>
  <si>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</si>
  <si>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</si>
  <si>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</si>
  <si>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</si>
  <si>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</si>
  <si>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</si>
  <si>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</si>
  <si>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</si>
  <si>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</si>
  <si>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</si>
  <si>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</si>
  <si>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</si>
  <si>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</si>
  <si>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n/a</t>
  </si>
  <si>
    <t>TRANSP VOLUMES R/S 685/902</t>
  </si>
  <si>
    <t>FERCINT13</t>
  </si>
  <si>
    <t>Balance transferred from RA20430</t>
  </si>
  <si>
    <t>Balance transferred from RA20431</t>
  </si>
  <si>
    <t>Balance transferred from RA20444</t>
  </si>
  <si>
    <t>Balance transferred from RA20449</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</si>
  <si>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</si>
  <si>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</si>
  <si>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</si>
  <si>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</si>
  <si>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</si>
  <si>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</si>
  <si>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</si>
  <si>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</si>
  <si>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to RA20472</t>
  </si>
  <si>
    <t>Balance transferred from RA20470</t>
  </si>
  <si>
    <t>FERCINT16</t>
  </si>
  <si>
    <t>Balance transferred to DG01284</t>
  </si>
  <si>
    <t>Balance transferred to RA20475</t>
  </si>
  <si>
    <t>3rd Party Damage</t>
  </si>
  <si>
    <t>Balance transferred to DG01286</t>
  </si>
  <si>
    <t>FERCINT17</t>
  </si>
  <si>
    <t xml:space="preserve"> </t>
  </si>
  <si>
    <t>Rule 21 Decoupling Mechanism</t>
  </si>
  <si>
    <t>47WA.1862.20477</t>
  </si>
  <si>
    <t>To record deferral activity for the Washington Decoupling Mechanism (Rule 21)</t>
  </si>
  <si>
    <t>Balance forward 08/31/2016</t>
  </si>
  <si>
    <t>Balance forward 10/31/2016</t>
  </si>
  <si>
    <t>MAOP Deferred Costs</t>
  </si>
  <si>
    <t>To record incremental third-party costs incurred to implement the Maximum Allowable Operating Pressure Determination and Validation Plan (MAOP Plan).</t>
  </si>
  <si>
    <t>06/01/2016 - forward</t>
  </si>
  <si>
    <t>47WA.1860.20479</t>
  </si>
  <si>
    <t>Balance transferred to RA20478</t>
  </si>
  <si>
    <t>11/01/2016 WA Consolidated Technical Adjustments - Conservation</t>
  </si>
  <si>
    <t>Balance transferred from RA20475</t>
  </si>
  <si>
    <t>Net Term Sales</t>
  </si>
  <si>
    <t>04LV</t>
  </si>
  <si>
    <t>05LV</t>
  </si>
  <si>
    <t>FERCINT18</t>
  </si>
  <si>
    <t>Balance transferred to 20480</t>
  </si>
  <si>
    <t>47WA.1862.20480</t>
  </si>
  <si>
    <t>Balance transferred from RA20477</t>
  </si>
  <si>
    <t>Balance transferred from 20430, 20431, 20444, and 20449</t>
  </si>
  <si>
    <t>Various</t>
  </si>
  <si>
    <t>New Therms</t>
  </si>
  <si>
    <t>Old Therms</t>
  </si>
  <si>
    <t>Old Rate</t>
  </si>
  <si>
    <t>New Rate</t>
  </si>
  <si>
    <t>WA Decoupling Amortization Rate RA 1862.20480</t>
  </si>
  <si>
    <t>WA Decoupling Amortization RA 1862.20480</t>
  </si>
  <si>
    <t>47WA.1823.47020478</t>
  </si>
  <si>
    <t>47WA.1823.47020431</t>
  </si>
  <si>
    <t>47WA.1823.47020444</t>
  </si>
  <si>
    <t>47WA.1823.47020449</t>
  </si>
  <si>
    <t>47WA.1823.47020430</t>
  </si>
  <si>
    <t>Residential</t>
  </si>
  <si>
    <t>Commercial</t>
  </si>
  <si>
    <t>Unbilled Adj for Conservation</t>
  </si>
  <si>
    <t>Move to 47WA.1860.20481</t>
  </si>
  <si>
    <t>Rate class' 502, 512 &amp; 577 were eliminated as part of WUTC UG-170929</t>
  </si>
  <si>
    <t xml:space="preserve">   Aug Therms showing in 502 were rolled to 503</t>
  </si>
  <si>
    <t>Manual Entry - 1501A was incorrect Separate AJE to True-up in Aug</t>
  </si>
  <si>
    <t>Adjusted Formula to move therms to Class 570</t>
  </si>
  <si>
    <t>FERCINT19</t>
  </si>
  <si>
    <t xml:space="preserve">   Aug Therms showing in 577 were rolled to 570</t>
  </si>
  <si>
    <t>505</t>
  </si>
  <si>
    <t>504</t>
  </si>
  <si>
    <t>503</t>
  </si>
  <si>
    <t>511</t>
  </si>
  <si>
    <t>570</t>
  </si>
  <si>
    <t>Net Old Therms</t>
  </si>
  <si>
    <t>Net New Therms</t>
  </si>
  <si>
    <t>Entitlement Penalty</t>
  </si>
  <si>
    <t>Balance transferred from 01253 and 01254</t>
  </si>
  <si>
    <t>Balance transferred from RA20458N</t>
  </si>
  <si>
    <t>Balance transferred from DG01284</t>
  </si>
  <si>
    <t>Balance transferred to 47WA.2530.01288</t>
  </si>
  <si>
    <t>PGA</t>
  </si>
  <si>
    <t>Supplemental Gas Cost Amort</t>
  </si>
  <si>
    <t>Balance transferred from 47WA.1860.20479</t>
  </si>
  <si>
    <t>Sraight Line</t>
  </si>
  <si>
    <t>FERCINT20</t>
  </si>
  <si>
    <t>511/11LV</t>
  </si>
  <si>
    <t>Balance transferred to 47WA.2530.01289</t>
  </si>
  <si>
    <t>Balance transferred to DG01289</t>
  </si>
  <si>
    <t>Balance transferred to 01289</t>
  </si>
  <si>
    <t>3/1/20 to 2/28/30</t>
  </si>
  <si>
    <t>47WA.1860.20484</t>
  </si>
  <si>
    <t>Balance transferred from 47WA.1860.20481 &amp; 47WA.1860.20479</t>
  </si>
  <si>
    <t>Move to 47WA.1860.20484 &amp; 47WA.1860.20481</t>
  </si>
  <si>
    <t>FERCINT21</t>
  </si>
  <si>
    <t>Includes Unbilled</t>
  </si>
  <si>
    <t>12/1/20 True-up</t>
  </si>
  <si>
    <t>47WA.1860.20485</t>
  </si>
  <si>
    <t>1/1/18 to 12/31/18</t>
  </si>
  <si>
    <t>Amortization of previously deferred WA Pre-Code Pipe MAOP Costs on straight line basis over a period of 120 months.  (5,432,079.76 / 120 = 45,267.33) Docket UG-190210</t>
  </si>
  <si>
    <t>11/1/16 to 12/31/17</t>
  </si>
  <si>
    <t>WA MAOP Pre-Code Costs Amortization #1</t>
  </si>
  <si>
    <t>WA MAOP Pre-Code Costs Amortization #2</t>
  </si>
  <si>
    <t>8/1/18 to 7/31/28</t>
  </si>
  <si>
    <t>Amortization of previously deferred WA Pre-Code Pipe MAOP Costs on straight line basis over a period of 120 months.  (5,423,017.35 / 120 = 45,191.81) Docket UG-170929</t>
  </si>
  <si>
    <t>WA MAOP Pre-Code Costs Amortization #3</t>
  </si>
  <si>
    <t>7/1/21 to 6/30/31</t>
  </si>
  <si>
    <t>Move to 47WA.1860.20486</t>
  </si>
  <si>
    <t>47WA.1860.20486</t>
  </si>
  <si>
    <t>1/1/19 to 12/31/19</t>
  </si>
  <si>
    <t>Amortization of previously deferred WA Pre-Code Pipe MAOP Costs on straight line basis over a period of 120 months.  (2,571,965.00 / 120 = 21,433.04) Docket UG-200568 Exhibit AIW-2</t>
  </si>
  <si>
    <t>D</t>
  </si>
  <si>
    <t>FERCINT22</t>
  </si>
  <si>
    <t>CA1501 (All)</t>
  </si>
  <si>
    <t>CA1501 (Cycle 4)</t>
  </si>
  <si>
    <t>11/01/2021 through 10/31/2022</t>
  </si>
  <si>
    <t>Balance transferred to 47WA.1910.01286</t>
  </si>
  <si>
    <t>47WA.1910.01253   (Previously 47WA.2530.01253)</t>
  </si>
  <si>
    <t>47WA.1910.01254   (Previously 47WA.2530.01254)</t>
  </si>
  <si>
    <t>WA Consolidated Technical Adjustments - Gas Cost</t>
  </si>
  <si>
    <t>47WA.1910.01286   (Previously 47WA.2530.01286)</t>
  </si>
  <si>
    <t>11/1/21 - 10/31/2022</t>
  </si>
  <si>
    <t>Balance transferred from  01253, 01254, 01289</t>
  </si>
  <si>
    <t>11/1/20 - 10/31/21</t>
  </si>
  <si>
    <t>11/01/2021 - 10/31/2022</t>
  </si>
  <si>
    <t>47WA.1910.01253</t>
  </si>
  <si>
    <t>47WA.1910.01254</t>
  </si>
  <si>
    <t>47WA.1910.01286</t>
  </si>
  <si>
    <t>Nov Prorated rate for old therms is the '20-'21 rate from the 2530.01289 Amort</t>
  </si>
  <si>
    <t>Consolidation of Core gas cost residual deferral balances per the 09/1/2015 tracker filing. (Schedule 590)</t>
  </si>
  <si>
    <t>Consolidation of Core Conservation deferral balances per the 11/1/2016 tracker filing.  (Scheddule 596)</t>
  </si>
  <si>
    <t>Amortization of previously deferred WA Decoupling Mechanism adjustments.  (Schedule 594)</t>
  </si>
  <si>
    <t>Balance transferred from 47WA.1910.01288</t>
  </si>
  <si>
    <t>Completion of Supplemental Gas Cost Amort</t>
  </si>
  <si>
    <t xml:space="preserve"> Washington Deferrals</t>
  </si>
  <si>
    <t xml:space="preserve"> Month of</t>
  </si>
  <si>
    <t>Commodity</t>
  </si>
  <si>
    <t>Demand</t>
  </si>
  <si>
    <t>Gas Cost Recognized</t>
  </si>
  <si>
    <t>Total Gas Cost Recognized</t>
  </si>
  <si>
    <t>4</t>
  </si>
  <si>
    <t>Actual Gas Cost Incurred</t>
  </si>
  <si>
    <t>Deferred Gas Cost Journalized</t>
  </si>
  <si>
    <t>47WA.1910.01253 - Gas Loss</t>
  </si>
  <si>
    <t>3rd party damages</t>
  </si>
  <si>
    <t>gas loss.</t>
  </si>
  <si>
    <t>Gas Storage Mitigation</t>
  </si>
  <si>
    <t>Deferral Amount</t>
  </si>
  <si>
    <t>( ____ )  = credit to gas cost</t>
  </si>
  <si>
    <t>JDE Gas Cost Account Code</t>
  </si>
  <si>
    <t>JDE Deferred Gas Account Code</t>
  </si>
  <si>
    <t xml:space="preserve"> Assignment of Core Gas Cost To</t>
  </si>
  <si>
    <t>WASHINGTON - NEW RATES</t>
  </si>
  <si>
    <t xml:space="preserve"> Class &amp; Rate Schedule</t>
  </si>
  <si>
    <t>Red Cells = Actual Billed Therms 1501</t>
  </si>
  <si>
    <t xml:space="preserve"> Core Gas Cost</t>
  </si>
  <si>
    <t xml:space="preserve"> Blue - 1501A</t>
  </si>
  <si>
    <t xml:space="preserve"> Revenue &amp; Cost by Rate Schedule - WA</t>
  </si>
  <si>
    <t>Green Cells = Unbilled Therms Incl. LV</t>
  </si>
  <si>
    <t>Sales</t>
  </si>
  <si>
    <t>Gas Cost</t>
  </si>
  <si>
    <t>CC&amp;B</t>
  </si>
  <si>
    <t>WACOG at</t>
  </si>
  <si>
    <t>Cost</t>
  </si>
  <si>
    <t>CL</t>
  </si>
  <si>
    <t>RS</t>
  </si>
  <si>
    <t>Billed</t>
  </si>
  <si>
    <t>Nov 1 2021</t>
  </si>
  <si>
    <t>Apr 1 2022</t>
  </si>
  <si>
    <t>Recongnized</t>
  </si>
  <si>
    <t>Firm Res - air con</t>
  </si>
  <si>
    <t>541</t>
  </si>
  <si>
    <t>CNGWA 541</t>
  </si>
  <si>
    <t>Firm Residentials</t>
  </si>
  <si>
    <t>CNGWA 503</t>
  </si>
  <si>
    <t>47WA.4009.4800</t>
  </si>
  <si>
    <t>PM Unbilled - Res</t>
  </si>
  <si>
    <t>CM Unbilled - Res</t>
  </si>
  <si>
    <t>Firm Commercial</t>
  </si>
  <si>
    <t>CNGWA 504</t>
  </si>
  <si>
    <t>Regular cycle</t>
  </si>
  <si>
    <t>11LV</t>
  </si>
  <si>
    <t>47WA.4009.4810</t>
  </si>
  <si>
    <t>PM Unbilled - Com'l</t>
  </si>
  <si>
    <t>Reg. accrual</t>
  </si>
  <si>
    <t>CM Unbilled - Com'l</t>
  </si>
  <si>
    <t>Firm Ind'l</t>
  </si>
  <si>
    <t>CNGWA 505</t>
  </si>
  <si>
    <t>Firm Industrial</t>
  </si>
  <si>
    <t>CNGWA 511</t>
  </si>
  <si>
    <t>Firm Com - Lg Vol</t>
  </si>
  <si>
    <t>Unbilled</t>
  </si>
  <si>
    <t>CNGWA 04LV</t>
  </si>
  <si>
    <t xml:space="preserve">PM Unbilled </t>
  </si>
  <si>
    <t xml:space="preserve">CM 1501A (Unbilled) </t>
  </si>
  <si>
    <t>1501A</t>
  </si>
  <si>
    <t>511  04LV</t>
  </si>
  <si>
    <t>CNGWA 11LV</t>
  </si>
  <si>
    <t>4813  570</t>
  </si>
  <si>
    <t>47WA.4009.4813</t>
  </si>
  <si>
    <t>Interr Industrial</t>
  </si>
  <si>
    <t>5</t>
  </si>
  <si>
    <t>CNGWA 570</t>
  </si>
  <si>
    <t>Firm Ind'l - Lg Vol CNGW05LV</t>
  </si>
  <si>
    <t>CNGWA 05LV</t>
  </si>
  <si>
    <t>47WA.4009.4811</t>
  </si>
  <si>
    <t>Interr Small Commercial</t>
  </si>
  <si>
    <t xml:space="preserve">CM Unbilled </t>
  </si>
  <si>
    <t>New Rates</t>
  </si>
  <si>
    <t xml:space="preserve">Total Gas Cost Recognized </t>
  </si>
  <si>
    <t>Old Rates</t>
  </si>
  <si>
    <t>Pg 2</t>
  </si>
  <si>
    <t>Total WA</t>
  </si>
  <si>
    <t>47WA.6011.28040</t>
  </si>
  <si>
    <t>Summary of Gas Cost Accruals by Reg Jurisdiction</t>
  </si>
  <si>
    <t>Current Month &amp; True-ups</t>
  </si>
  <si>
    <t>Current Month Accruals</t>
  </si>
  <si>
    <t xml:space="preserve">True-ups booked in </t>
  </si>
  <si>
    <t xml:space="preserve">xxx-08 True-Ups Booked in </t>
  </si>
  <si>
    <t>Washington Amount</t>
  </si>
  <si>
    <t>Oregon Amount</t>
  </si>
  <si>
    <t>Oregon</t>
  </si>
  <si>
    <t>JDE Acct Code</t>
  </si>
  <si>
    <t>$</t>
  </si>
  <si>
    <t>TH</t>
  </si>
  <si>
    <t>EIA-857 - WA</t>
  </si>
  <si>
    <t>EIA-857 - OR</t>
  </si>
  <si>
    <t>47</t>
  </si>
  <si>
    <t>Contract Demand Charges</t>
  </si>
  <si>
    <t>NA</t>
  </si>
  <si>
    <t>Canadian Toll Charges</t>
  </si>
  <si>
    <t>Commodity Charges</t>
  </si>
  <si>
    <t>C</t>
  </si>
  <si>
    <t>Financial Hedges Settlement</t>
  </si>
  <si>
    <t xml:space="preserve">Core Pipeline Imbalance </t>
  </si>
  <si>
    <t>Gas Withdrawn from Storage</t>
  </si>
  <si>
    <t>Gas Injected to Storage (credit)</t>
  </si>
  <si>
    <t>Gas Used in Operations (credit)</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</si>
  <si>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</si>
  <si>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</si>
  <si>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</si>
  <si>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</si>
  <si>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</si>
  <si>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</si>
  <si>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</si>
  <si>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</si>
  <si>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</si>
  <si>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</si>
  <si>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</si>
  <si>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</si>
  <si>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</si>
  <si>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</si>
  <si>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</si>
  <si>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</si>
  <si>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</si>
  <si>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</si>
  <si>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</si>
  <si>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</si>
  <si>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</si>
  <si>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</si>
  <si>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</si>
  <si>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</si>
  <si>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</si>
  <si>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</si>
  <si>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3</t>
  </si>
  <si>
    <t>Total Demand  (Col. K, Rows 8, 9, 19, 26, 27, 32, 34, 35, &amp; 38)</t>
  </si>
  <si>
    <t>Previous Month Gas Supply Analysis</t>
  </si>
  <si>
    <t xml:space="preserve">WA &amp; OR </t>
  </si>
  <si>
    <t>WA PGA Allocation</t>
  </si>
  <si>
    <t>OR PGA Allocation</t>
  </si>
  <si>
    <t>Worksheet</t>
  </si>
  <si>
    <t xml:space="preserve">    </t>
  </si>
  <si>
    <t>Total 6011</t>
  </si>
  <si>
    <t>True-up</t>
  </si>
  <si>
    <t>Total Worksheet</t>
  </si>
  <si>
    <t>G/L Amount</t>
  </si>
  <si>
    <t>47OR.6011.28040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</si>
</sst>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quot;$&quot;#,##0.00000_);\(&quot;$&quot;#,##0.00000\)"/>
    <numFmt numFmtId="165" formatCode="#,##0.00000_);\(#,##0.00000\)"/>
    <numFmt numFmtId="166" formatCode="_(* #,##0.00000_);_(* \(#,##0.00000\);_(* &quot;-&quot;??_);_(@_)"/>
    <numFmt numFmtId="167" formatCode="_(* #,##0_);_(* \(#,##0\);_(* &quot;-&quot;??_);_(@_)"/>
    <numFmt numFmtId="168" formatCode="[$-409]mmm\-yy;@"/>
    <numFmt numFmtId="169" formatCode="[$-409]mmmm\-yy;@"/>
    <numFmt numFmtId="170" formatCode="_(&quot;$&quot;* #,##0.00000_);_(&quot;$&quot;* \(#,##0.00000\);_(&quot;$&quot;* &quot;-&quot;??_);_(@_)"/>
    <numFmt numFmtId="171" formatCode="mmmm\-yy"/>
    <numFmt numFmtId="172" formatCode="_(&quot;$&quot;* #,##0.0_);_(&quot;$&quot;* \(#,##0.0\);_(&quot;$&quot;* &quot;-&quot;??_);_(@_)"/>
  </numFmts>
  <fonts count="69"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1"/>
      <name val="Calibri"/>
      <family val="2"/>
      <scheme val="minor"/>
    </font>
    <font>
      <sz val="11"/>
      <color rgb="FFFF0000"/>
      <name val="Calibri"/>
      <family val="2"/>
      <scheme val="minor"/>
    </font>
    <font>
      <b/>
      <sz val="11"/>
      <color rgb="FF0070C0"/>
      <name val="Calibri"/>
      <family val="2"/>
      <scheme val="minor"/>
    </font>
    <font>
      <sz val="10"/>
      <name val="Arial"/>
      <family val="2"/>
    </font>
    <font>
      <sz val="10"/>
      <name val="Arial"/>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b/>
      <sz val="14"/>
      <name val="Arial"/>
      <family val="2"/>
    </font>
    <font>
      <b/>
      <sz val="12"/>
      <name val="Arial"/>
      <family val="2"/>
    </font>
    <font>
      <b/>
      <sz val="11"/>
      <color indexed="10"/>
      <name val="Arial"/>
      <family val="2"/>
    </font>
    <font>
      <b/>
      <sz val="11"/>
      <color rgb="FF0070C0"/>
      <name val="Arial"/>
      <family val="2"/>
    </font>
    <font>
      <b/>
      <sz val="11"/>
      <color rgb="FF00B050"/>
      <name val="Arial"/>
      <family val="2"/>
    </font>
    <font>
      <sz val="10"/>
      <color indexed="12"/>
      <name val="Arial"/>
      <family val="2"/>
    </font>
    <font>
      <u/>
      <sz val="10"/>
      <name val="Arial"/>
      <family val="2"/>
    </font>
    <font>
      <sz val="12"/>
      <color indexed="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rgb="FFFF0000"/>
      <name val="Arial"/>
      <family val="2"/>
    </font>
    <font>
      <sz val="12"/>
      <color rgb="FFFF0000"/>
      <name val="Arial"/>
      <family val="2"/>
    </font>
    <font>
      <b/>
      <sz val="12"/>
      <color rgb="FF0070C0"/>
      <name val="Arial"/>
      <family val="2"/>
    </font>
    <font>
      <sz val="10"/>
      <color indexed="10"/>
      <name val="Arial"/>
      <family val="2"/>
    </font>
    <font>
      <sz val="12"/>
      <color rgb="FF0070C0"/>
      <name val="Arial"/>
      <family val="2"/>
    </font>
    <font>
      <i/>
      <sz val="8"/>
      <color indexed="10"/>
      <name val="Arial"/>
      <family val="2"/>
    </font>
    <font>
      <b/>
      <sz val="8"/>
      <name val="Arial"/>
      <family val="2"/>
    </font>
    <font>
      <b/>
      <sz val="12"/>
      <color theme="4" tint="-0.249977111117893"/>
      <name val="Arial"/>
      <family val="2"/>
    </font>
    <font>
      <b/>
      <sz val="8"/>
      <color indexed="12"/>
      <name val="Arial"/>
      <family val="2"/>
    </font>
    <font>
      <b/>
      <sz val="12"/>
      <color theme="0"/>
      <name val="Arial"/>
      <family val="2"/>
    </font>
    <font>
      <b/>
      <u/>
      <sz val="12"/>
      <color theme="0"/>
      <name val="Arial"/>
      <family val="2"/>
    </font>
    <font>
      <b/>
      <u/>
      <sz val="12"/>
      <color theme="0"/>
      <name val="Cambria"/>
      <family val="1"/>
      <scheme val="major"/>
    </font>
    <font>
      <b/>
      <sz val="11"/>
      <color theme="0"/>
      <name val="Cambria"/>
      <family val="1"/>
      <scheme val="major"/>
    </font>
    <font>
      <sz val="9"/>
      <name val="Arial"/>
      <family val="2"/>
    </font>
    <font>
      <b/>
      <sz val="9"/>
      <name val="Arial"/>
      <family val="2"/>
    </font>
    <font>
      <b/>
      <sz val="9"/>
      <color indexed="10"/>
      <name val="Arial"/>
      <family val="2"/>
    </font>
    <font>
      <sz val="8"/>
      <color indexed="12"/>
      <name val="Arial"/>
      <family val="2"/>
    </font>
    <font>
      <sz val="9"/>
      <color indexed="10"/>
      <name val="Arial"/>
      <family val="2"/>
    </font>
    <font>
      <sz val="8"/>
      <color indexed="10"/>
      <name val="Arial"/>
      <family val="2"/>
    </font>
    <font>
      <b/>
      <sz val="11"/>
      <color rgb="FFFF0000"/>
      <name val="Arial"/>
      <family val="2"/>
    </font>
    <font>
      <b/>
      <i/>
      <sz val="8"/>
      <name val="Arial"/>
      <family val="2"/>
    </font>
    <font>
      <sz val="10.5"/>
      <name val="Arial"/>
      <family val="2"/>
    </font>
  </fonts>
  <fills count="26">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4BD0FF"/>
        <bgColor indexed="64"/>
      </patternFill>
    </fill>
    <fill>
      <patternFill patternType="solid">
        <fgColor rgb="FFADDB7B"/>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FF99"/>
        <bgColor indexed="64"/>
      </patternFill>
    </fill>
    <fill>
      <patternFill patternType="solid">
        <fgColor theme="5" tint="0.79998168889431442"/>
        <bgColor indexed="64"/>
      </patternFill>
    </fill>
    <fill>
      <patternFill patternType="solid">
        <fgColor theme="1"/>
        <bgColor indexed="64"/>
      </patternFill>
    </fill>
    <fill>
      <patternFill patternType="solid">
        <fgColor rgb="FFFFCD2D"/>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249977111117893"/>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38">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s>
  <cellStyleXfs count="21">
    <xf numFmtId="39" fontId="0" fillId="0" borderId="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0" fillId="0" borderId="0"/>
    <xf numFmtId="39" fontId="7" fillId="0" borderId="0"/>
    <xf numFmtId="0" fontId="6" fillId="0" borderId="0"/>
    <xf numFmtId="10" fontId="9"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0" fontId="27" fillId="0" borderId="0"/>
    <xf numFmtId="0" fontId="28" fillId="0" borderId="0"/>
  </cellStyleXfs>
  <cellXfs count="636">
    <xf numFmtId="39" fontId="0" fillId="0" borderId="0" xfId="0"/>
    <xf numFmtId="39" fontId="11" fillId="0" borderId="0" xfId="0" applyFont="1"/>
    <xf numFmtId="39" fontId="11" fillId="0" borderId="0" xfId="0" applyFont="1" applyAlignment="1">
      <alignment horizontal="left" vertical="top"/>
    </xf>
    <xf numFmtId="39" fontId="11" fillId="0" borderId="0" xfId="0" applyFont="1" applyAlignment="1">
      <alignment horizontal="left" wrapText="1"/>
    </xf>
    <xf numFmtId="39" fontId="11" fillId="0" borderId="0" xfId="0" applyFont="1" applyAlignment="1">
      <alignment horizontal="left"/>
    </xf>
    <xf numFmtId="39" fontId="12" fillId="0" borderId="1" xfId="0" applyFont="1" applyBorder="1" applyAlignment="1">
      <alignment horizontal="center" wrapText="1"/>
    </xf>
    <xf numFmtId="17" fontId="11" fillId="0" borderId="0" xfId="0" applyNumberFormat="1" applyFont="1"/>
    <xf numFmtId="164" fontId="11" fillId="0" borderId="0" xfId="0" applyNumberFormat="1" applyFont="1"/>
    <xf numFmtId="37" fontId="11" fillId="0" borderId="0" xfId="0" applyNumberFormat="1" applyFont="1"/>
    <xf numFmtId="39" fontId="11" fillId="0" borderId="2" xfId="0" applyFont="1" applyBorder="1"/>
    <xf numFmtId="39" fontId="11" fillId="0" borderId="0" xfId="0" applyFont="1" applyAlignment="1">
      <alignment horizontal="right"/>
    </xf>
    <xf numFmtId="39" fontId="16" fillId="0" borderId="0" xfId="0" applyFont="1" applyProtection="1">
      <protection locked="0"/>
    </xf>
    <xf numFmtId="39" fontId="17" fillId="0" borderId="0" xfId="0" applyFont="1"/>
    <xf numFmtId="10" fontId="11" fillId="0" borderId="2" xfId="13" applyNumberFormat="1" applyFont="1" applyBorder="1" applyAlignment="1">
      <alignment horizontal="center"/>
    </xf>
    <xf numFmtId="10" fontId="11" fillId="0" borderId="1" xfId="13" applyNumberFormat="1" applyFont="1" applyBorder="1" applyAlignment="1">
      <alignment horizontal="center"/>
    </xf>
    <xf numFmtId="37" fontId="11" fillId="0" borderId="1" xfId="0" applyNumberFormat="1" applyFont="1" applyBorder="1" applyAlignment="1">
      <alignment horizontal="center"/>
    </xf>
    <xf numFmtId="37" fontId="11" fillId="0" borderId="2" xfId="0" applyNumberFormat="1" applyFont="1" applyBorder="1" applyAlignment="1">
      <alignment horizontal="center"/>
    </xf>
    <xf numFmtId="39" fontId="11" fillId="0" borderId="11" xfId="0" applyFont="1" applyBorder="1"/>
    <xf numFmtId="39" fontId="12" fillId="0" borderId="0" xfId="0" applyFont="1" applyAlignment="1">
      <alignment wrapText="1"/>
    </xf>
    <xf numFmtId="17" fontId="12" fillId="0" borderId="14" xfId="1" applyNumberFormat="1" applyFont="1" applyBorder="1"/>
    <xf numFmtId="39" fontId="20" fillId="0" borderId="0" xfId="0" applyFont="1"/>
    <xf numFmtId="167" fontId="20" fillId="0" borderId="0" xfId="1" applyNumberFormat="1" applyFont="1" applyAlignment="1">
      <alignment horizontal="center"/>
    </xf>
    <xf numFmtId="167" fontId="20" fillId="0" borderId="1" xfId="1" applyNumberFormat="1" applyFont="1" applyBorder="1" applyAlignment="1">
      <alignment horizontal="center"/>
    </xf>
    <xf numFmtId="39" fontId="20" fillId="0" borderId="0" xfId="0" applyFont="1" applyAlignment="1">
      <alignment horizontal="center"/>
    </xf>
    <xf numFmtId="167" fontId="13" fillId="0" borderId="0" xfId="1" applyNumberFormat="1" applyFont="1"/>
    <xf numFmtId="37" fontId="13" fillId="0" borderId="0" xfId="0" applyNumberFormat="1" applyFont="1"/>
    <xf numFmtId="37" fontId="13" fillId="0" borderId="7" xfId="0" applyNumberFormat="1" applyFont="1" applyBorder="1"/>
    <xf numFmtId="39" fontId="13" fillId="0" borderId="0" xfId="0" applyFont="1"/>
    <xf numFmtId="37" fontId="13" fillId="0" borderId="1" xfId="0" applyNumberFormat="1" applyFont="1" applyBorder="1"/>
    <xf numFmtId="37" fontId="13" fillId="0" borderId="9" xfId="0" applyNumberFormat="1" applyFont="1" applyBorder="1"/>
    <xf numFmtId="168" fontId="12" fillId="0" borderId="7" xfId="0" applyNumberFormat="1" applyFont="1" applyBorder="1" applyAlignment="1">
      <alignment shrinkToFit="1"/>
    </xf>
    <xf numFmtId="17" fontId="11" fillId="0" borderId="0" xfId="0" applyNumberFormat="1" applyFont="1" applyAlignment="1">
      <alignment horizontal="right"/>
    </xf>
    <xf numFmtId="43" fontId="11" fillId="0" borderId="0" xfId="1" applyFont="1"/>
    <xf numFmtId="17" fontId="11" fillId="0" borderId="0" xfId="9" applyNumberFormat="1" applyFont="1"/>
    <xf numFmtId="39" fontId="11" fillId="0" borderId="0" xfId="9" applyNumberFormat="1" applyFont="1"/>
    <xf numFmtId="43" fontId="15" fillId="0" borderId="0" xfId="1" applyFont="1"/>
    <xf numFmtId="166" fontId="15" fillId="0" borderId="0" xfId="1" applyNumberFormat="1" applyFont="1"/>
    <xf numFmtId="167" fontId="11" fillId="0" borderId="0" xfId="1" applyNumberFormat="1" applyFont="1"/>
    <xf numFmtId="0" fontId="15" fillId="0" borderId="0" xfId="9" applyFont="1"/>
    <xf numFmtId="39" fontId="11" fillId="0" borderId="0" xfId="9" applyNumberFormat="1" applyFont="1" applyAlignment="1">
      <alignment horizontal="fill"/>
    </xf>
    <xf numFmtId="39" fontId="15" fillId="0" borderId="0" xfId="9" applyNumberFormat="1" applyFont="1"/>
    <xf numFmtId="165" fontId="11" fillId="0" borderId="0" xfId="0" applyNumberFormat="1" applyFont="1"/>
    <xf numFmtId="39" fontId="11" fillId="2" borderId="0" xfId="0" applyFont="1" applyFill="1"/>
    <xf numFmtId="165" fontId="11" fillId="0" borderId="0" xfId="9" applyNumberFormat="1" applyFont="1" applyAlignment="1">
      <alignment horizontal="center"/>
    </xf>
    <xf numFmtId="0" fontId="15" fillId="2" borderId="0" xfId="9" applyFont="1" applyFill="1"/>
    <xf numFmtId="39" fontId="11" fillId="2" borderId="0" xfId="9" applyNumberFormat="1" applyFont="1" applyFill="1"/>
    <xf numFmtId="37" fontId="20" fillId="0" borderId="0" xfId="0" applyNumberFormat="1" applyFont="1"/>
    <xf numFmtId="37" fontId="20" fillId="0" borderId="1" xfId="0" applyNumberFormat="1" applyFont="1" applyBorder="1"/>
    <xf numFmtId="37" fontId="20" fillId="0" borderId="13" xfId="0" applyNumberFormat="1" applyFont="1" applyBorder="1"/>
    <xf numFmtId="37" fontId="20" fillId="0" borderId="14" xfId="0" applyNumberFormat="1" applyFont="1" applyBorder="1"/>
    <xf numFmtId="37" fontId="11" fillId="0" borderId="0" xfId="9" applyNumberFormat="1" applyFont="1"/>
    <xf numFmtId="168" fontId="11" fillId="0" borderId="5" xfId="11" applyNumberFormat="1" applyFont="1" applyBorder="1" applyAlignment="1">
      <alignment horizontal="center" vertical="top"/>
    </xf>
    <xf numFmtId="168" fontId="11" fillId="0" borderId="7" xfId="11" applyNumberFormat="1" applyFont="1" applyBorder="1" applyAlignment="1">
      <alignment horizontal="center" vertical="top"/>
    </xf>
    <xf numFmtId="168" fontId="11" fillId="0" borderId="9" xfId="11" applyNumberFormat="1" applyFont="1" applyBorder="1" applyAlignment="1">
      <alignment horizontal="center" vertical="top"/>
    </xf>
    <xf numFmtId="39" fontId="11" fillId="0" borderId="1" xfId="9" applyNumberFormat="1" applyFont="1" applyBorder="1"/>
    <xf numFmtId="37" fontId="13" fillId="0" borderId="14" xfId="0" applyNumberFormat="1" applyFont="1" applyBorder="1"/>
    <xf numFmtId="43" fontId="23" fillId="0" borderId="0" xfId="1" applyFont="1"/>
    <xf numFmtId="39" fontId="24" fillId="0" borderId="0" xfId="0" applyFont="1"/>
    <xf numFmtId="168" fontId="24" fillId="0" borderId="0" xfId="0" applyNumberFormat="1" applyFont="1"/>
    <xf numFmtId="37" fontId="24" fillId="0" borderId="15" xfId="0" applyNumberFormat="1" applyFont="1" applyBorder="1" applyAlignment="1">
      <alignment horizontal="center"/>
    </xf>
    <xf numFmtId="167" fontId="24" fillId="0" borderId="0" xfId="1" applyNumberFormat="1" applyFont="1"/>
    <xf numFmtId="43" fontId="24" fillId="0" borderId="0" xfId="1" applyFont="1" applyAlignment="1">
      <alignment horizontal="center"/>
    </xf>
    <xf numFmtId="167" fontId="24" fillId="0" borderId="0" xfId="1" applyNumberFormat="1" applyFont="1" applyAlignment="1">
      <alignment horizontal="center"/>
    </xf>
    <xf numFmtId="39" fontId="24" fillId="0" borderId="15" xfId="0" applyFont="1" applyBorder="1" applyAlignment="1">
      <alignment horizontal="center"/>
    </xf>
    <xf numFmtId="39" fontId="11" fillId="0" borderId="0" xfId="9" applyNumberFormat="1" applyFont="1" applyAlignment="1">
      <alignment horizontal="center"/>
    </xf>
    <xf numFmtId="37" fontId="24" fillId="0" borderId="0" xfId="0" applyNumberFormat="1" applyFont="1"/>
    <xf numFmtId="37" fontId="11" fillId="0" borderId="15" xfId="0" applyNumberFormat="1" applyFont="1" applyBorder="1"/>
    <xf numFmtId="39" fontId="23" fillId="0" borderId="0" xfId="9" applyNumberFormat="1" applyFont="1"/>
    <xf numFmtId="165" fontId="24" fillId="0" borderId="0" xfId="0" applyNumberFormat="1" applyFont="1"/>
    <xf numFmtId="39" fontId="25" fillId="0" borderId="0" xfId="0" applyFont="1"/>
    <xf numFmtId="39" fontId="12" fillId="0" borderId="8" xfId="0" applyFont="1" applyBorder="1" applyAlignment="1">
      <alignment horizontal="center" wrapText="1"/>
    </xf>
    <xf numFmtId="39" fontId="11" fillId="0" borderId="8" xfId="0" applyFont="1" applyBorder="1"/>
    <xf numFmtId="39" fontId="11" fillId="0" borderId="10" xfId="0" applyFont="1" applyBorder="1"/>
    <xf numFmtId="39" fontId="11" fillId="0" borderId="6" xfId="0" applyFont="1" applyBorder="1"/>
    <xf numFmtId="37" fontId="11" fillId="0" borderId="8" xfId="0" applyNumberFormat="1" applyFont="1" applyBorder="1"/>
    <xf numFmtId="37" fontId="11" fillId="0" borderId="10" xfId="0" applyNumberFormat="1" applyFont="1" applyBorder="1"/>
    <xf numFmtId="167" fontId="24" fillId="2" borderId="0" xfId="1" applyNumberFormat="1" applyFont="1" applyFill="1"/>
    <xf numFmtId="39" fontId="24" fillId="2" borderId="0" xfId="0" applyFont="1" applyFill="1"/>
    <xf numFmtId="167" fontId="24" fillId="5" borderId="0" xfId="1" applyNumberFormat="1" applyFont="1" applyFill="1"/>
    <xf numFmtId="167" fontId="24" fillId="7" borderId="0" xfId="1" applyNumberFormat="1" applyFont="1" applyFill="1"/>
    <xf numFmtId="39" fontId="24" fillId="7" borderId="0" xfId="0" applyFont="1" applyFill="1"/>
    <xf numFmtId="39" fontId="24" fillId="6" borderId="0" xfId="0" applyFont="1" applyFill="1"/>
    <xf numFmtId="168" fontId="12" fillId="0" borderId="0" xfId="0" applyNumberFormat="1" applyFont="1" applyAlignment="1">
      <alignment shrinkToFit="1"/>
    </xf>
    <xf numFmtId="17" fontId="12" fillId="0" borderId="0" xfId="1" applyNumberFormat="1" applyFont="1"/>
    <xf numFmtId="39" fontId="20" fillId="0" borderId="7" xfId="0" applyFont="1" applyBorder="1" applyAlignment="1">
      <alignment horizontal="center"/>
    </xf>
    <xf numFmtId="168" fontId="24" fillId="3" borderId="0" xfId="0" applyNumberFormat="1" applyFont="1" applyFill="1"/>
    <xf numFmtId="167" fontId="24" fillId="3" borderId="0" xfId="1" applyNumberFormat="1" applyFont="1" applyFill="1"/>
    <xf numFmtId="39" fontId="24" fillId="3" borderId="0" xfId="0" applyFont="1" applyFill="1"/>
    <xf numFmtId="37" fontId="24" fillId="3" borderId="0" xfId="0" applyNumberFormat="1" applyFont="1" applyFill="1"/>
    <xf numFmtId="37" fontId="13" fillId="0" borderId="13" xfId="0" applyNumberFormat="1" applyFont="1" applyBorder="1"/>
    <xf numFmtId="39" fontId="12" fillId="0" borderId="0" xfId="0" applyFont="1" applyAlignment="1">
      <alignment horizontal="center"/>
    </xf>
    <xf numFmtId="39" fontId="12" fillId="0" borderId="0" xfId="12" applyNumberFormat="1" applyFont="1" applyAlignment="1">
      <alignment horizontal="center"/>
    </xf>
    <xf numFmtId="39" fontId="11" fillId="0" borderId="0" xfId="0" applyFont="1" applyAlignment="1">
      <alignment horizontal="right"/>
    </xf>
    <xf numFmtId="39" fontId="11" fillId="0" borderId="0" xfId="0" applyFont="1" applyAlignment="1">
      <alignment horizontal="left"/>
    </xf>
    <xf numFmtId="39" fontId="11" fillId="0" borderId="0" xfId="0" applyFont="1" applyAlignment="1">
      <alignment horizontal="left" vertical="top"/>
    </xf>
    <xf numFmtId="39" fontId="15" fillId="0" borderId="0" xfId="17" applyNumberFormat="1" applyFont="1"/>
    <xf numFmtId="39" fontId="11" fillId="0" borderId="0" xfId="17" applyNumberFormat="1" applyFont="1"/>
    <xf numFmtId="37" fontId="11" fillId="0" borderId="0" xfId="17" applyNumberFormat="1" applyFont="1"/>
    <xf numFmtId="165" fontId="11" fillId="0" borderId="0" xfId="17" applyNumberFormat="1" applyFont="1" applyAlignment="1">
      <alignment horizontal="center"/>
    </xf>
    <xf numFmtId="17" fontId="11" fillId="0" borderId="0" xfId="17" applyNumberFormat="1" applyFont="1"/>
    <xf numFmtId="0" fontId="15" fillId="0" borderId="0" xfId="17" applyFont="1"/>
    <xf numFmtId="0" fontId="15" fillId="2" borderId="0" xfId="17" applyFont="1" applyFill="1"/>
    <xf numFmtId="39" fontId="11" fillId="2" borderId="0" xfId="17" applyNumberFormat="1" applyFont="1" applyFill="1"/>
    <xf numFmtId="39" fontId="11" fillId="0" borderId="1" xfId="17" applyNumberFormat="1" applyFont="1" applyBorder="1"/>
    <xf numFmtId="39" fontId="11" fillId="0" borderId="0" xfId="17" applyNumberFormat="1" applyFont="1" applyAlignment="1">
      <alignment horizontal="fill"/>
    </xf>
    <xf numFmtId="37" fontId="11" fillId="0" borderId="0" xfId="9" applyNumberFormat="1" applyFont="1" applyFill="1"/>
    <xf numFmtId="168" fontId="12" fillId="0" borderId="5" xfId="0" applyNumberFormat="1" applyFont="1" applyBorder="1" applyAlignment="1">
      <alignment shrinkToFit="1"/>
    </xf>
    <xf numFmtId="37" fontId="13" fillId="0" borderId="2" xfId="0" applyNumberFormat="1" applyFont="1" applyBorder="1"/>
    <xf numFmtId="37" fontId="20" fillId="0" borderId="2" xfId="0" applyNumberFormat="1" applyFont="1" applyBorder="1"/>
    <xf numFmtId="37" fontId="13" fillId="0" borderId="5" xfId="0" applyNumberFormat="1" applyFont="1" applyBorder="1"/>
    <xf numFmtId="37" fontId="13" fillId="0" borderId="12" xfId="0" applyNumberFormat="1" applyFont="1" applyBorder="1"/>
    <xf numFmtId="37" fontId="13" fillId="0" borderId="0" xfId="0" applyNumberFormat="1" applyFont="1" applyBorder="1"/>
    <xf numFmtId="37" fontId="20" fillId="0" borderId="0" xfId="0" applyNumberFormat="1" applyFont="1" applyBorder="1"/>
    <xf numFmtId="37" fontId="11" fillId="0" borderId="0" xfId="0" applyNumberFormat="1" applyFont="1" applyBorder="1"/>
    <xf numFmtId="17" fontId="12" fillId="0" borderId="7" xfId="1" applyNumberFormat="1" applyFont="1" applyBorder="1"/>
    <xf numFmtId="168" fontId="12" fillId="0" borderId="9" xfId="0" applyNumberFormat="1" applyFont="1" applyBorder="1" applyAlignment="1">
      <alignment shrinkToFit="1"/>
    </xf>
    <xf numFmtId="39" fontId="20" fillId="0" borderId="9" xfId="0" applyFont="1" applyBorder="1" applyAlignment="1">
      <alignment horizontal="center"/>
    </xf>
    <xf numFmtId="37" fontId="11" fillId="0" borderId="1" xfId="0" applyNumberFormat="1" applyFont="1" applyBorder="1"/>
    <xf numFmtId="0" fontId="15" fillId="0" borderId="0" xfId="18" applyFont="1"/>
    <xf numFmtId="39" fontId="11" fillId="0" borderId="0" xfId="18" applyNumberFormat="1" applyFont="1" applyAlignment="1">
      <alignment horizontal="fill"/>
    </xf>
    <xf numFmtId="39" fontId="11" fillId="0" borderId="0" xfId="18" applyNumberFormat="1" applyFont="1"/>
    <xf numFmtId="17" fontId="11" fillId="0" borderId="0" xfId="18" applyNumberFormat="1" applyFont="1"/>
    <xf numFmtId="39" fontId="15" fillId="0" borderId="0" xfId="18" applyNumberFormat="1" applyFont="1"/>
    <xf numFmtId="39" fontId="11" fillId="0" borderId="0" xfId="18" applyNumberFormat="1" applyFont="1" applyAlignment="1">
      <alignment horizontal="center"/>
    </xf>
    <xf numFmtId="39" fontId="14" fillId="0" borderId="1" xfId="0" applyFont="1" applyBorder="1" applyAlignment="1">
      <alignment horizontal="center" wrapText="1"/>
    </xf>
    <xf numFmtId="39" fontId="12" fillId="0" borderId="0" xfId="0" applyFont="1" applyBorder="1" applyAlignment="1">
      <alignment horizontal="center" wrapText="1"/>
    </xf>
    <xf numFmtId="37" fontId="14" fillId="0" borderId="1" xfId="0" applyNumberFormat="1" applyFont="1" applyBorder="1" applyAlignment="1">
      <alignment horizontal="center" wrapText="1"/>
    </xf>
    <xf numFmtId="39" fontId="21" fillId="0" borderId="1" xfId="0" applyFont="1" applyBorder="1" applyAlignment="1">
      <alignment horizontal="center" wrapText="1"/>
    </xf>
    <xf numFmtId="39" fontId="12" fillId="0" borderId="0" xfId="0" applyFont="1" applyBorder="1"/>
    <xf numFmtId="37" fontId="20" fillId="0" borderId="7" xfId="0" applyNumberFormat="1" applyFont="1" applyBorder="1"/>
    <xf numFmtId="37" fontId="20" fillId="0" borderId="9" xfId="0" applyNumberFormat="1" applyFont="1" applyBorder="1"/>
    <xf numFmtId="37" fontId="20" fillId="0" borderId="5" xfId="0" applyNumberFormat="1" applyFont="1" applyBorder="1"/>
    <xf numFmtId="37" fontId="20" fillId="0" borderId="8" xfId="0" applyNumberFormat="1" applyFont="1" applyBorder="1"/>
    <xf numFmtId="37" fontId="20" fillId="0" borderId="10" xfId="0" applyNumberFormat="1" applyFont="1" applyBorder="1"/>
    <xf numFmtId="39" fontId="13" fillId="0" borderId="0" xfId="0" applyFont="1" applyBorder="1"/>
    <xf numFmtId="39" fontId="20" fillId="0" borderId="0" xfId="0" applyFont="1" applyBorder="1"/>
    <xf numFmtId="39" fontId="11" fillId="0" borderId="0" xfId="0" applyFont="1" applyBorder="1"/>
    <xf numFmtId="39" fontId="11" fillId="0" borderId="1" xfId="0" applyFont="1" applyBorder="1"/>
    <xf numFmtId="17" fontId="12" fillId="0" borderId="9" xfId="1" applyNumberFormat="1" applyFont="1" applyBorder="1"/>
    <xf numFmtId="167" fontId="20" fillId="0" borderId="0" xfId="1" applyNumberFormat="1" applyFont="1" applyBorder="1" applyAlignment="1">
      <alignment horizontal="center"/>
    </xf>
    <xf numFmtId="167" fontId="13" fillId="0" borderId="0" xfId="1" applyNumberFormat="1" applyFont="1" applyBorder="1"/>
    <xf numFmtId="37" fontId="20" fillId="0" borderId="6" xfId="0" applyNumberFormat="1" applyFont="1" applyBorder="1"/>
    <xf numFmtId="167" fontId="20" fillId="0" borderId="2" xfId="1" applyNumberFormat="1" applyFont="1" applyBorder="1" applyAlignment="1">
      <alignment horizontal="center"/>
    </xf>
    <xf numFmtId="37" fontId="14" fillId="0" borderId="13" xfId="0" applyNumberFormat="1" applyFont="1" applyBorder="1" applyAlignment="1">
      <alignment horizontal="center" wrapText="1"/>
    </xf>
    <xf numFmtId="167" fontId="13" fillId="0" borderId="12" xfId="1" applyNumberFormat="1" applyFont="1" applyBorder="1"/>
    <xf numFmtId="167" fontId="13" fillId="0" borderId="13" xfId="1" applyNumberFormat="1" applyFont="1" applyBorder="1"/>
    <xf numFmtId="39" fontId="11" fillId="0" borderId="0" xfId="0" applyFont="1" applyFill="1"/>
    <xf numFmtId="37" fontId="11" fillId="0" borderId="6" xfId="0" applyNumberFormat="1" applyFont="1" applyBorder="1" applyAlignment="1">
      <alignment horizontal="center"/>
    </xf>
    <xf numFmtId="10" fontId="11" fillId="0" borderId="0" xfId="13" applyNumberFormat="1" applyFont="1" applyBorder="1" applyAlignment="1">
      <alignment horizontal="center"/>
    </xf>
    <xf numFmtId="37" fontId="11" fillId="0" borderId="8" xfId="0" applyNumberFormat="1" applyFont="1" applyBorder="1" applyAlignment="1">
      <alignment horizontal="center"/>
    </xf>
    <xf numFmtId="37" fontId="11" fillId="0" borderId="10" xfId="0" applyNumberFormat="1" applyFont="1" applyBorder="1" applyAlignment="1">
      <alignment horizontal="center"/>
    </xf>
    <xf numFmtId="39" fontId="11" fillId="0" borderId="0" xfId="0" applyFont="1" applyAlignment="1">
      <alignment horizontal="right"/>
    </xf>
    <xf numFmtId="166" fontId="15" fillId="0" borderId="0" xfId="1" applyNumberFormat="1" applyFont="1" applyFill="1"/>
    <xf numFmtId="39" fontId="11" fillId="0" borderId="0" xfId="0" applyFont="1" applyAlignment="1">
      <alignment horizontal="right"/>
    </xf>
    <xf numFmtId="37" fontId="11" fillId="0" borderId="0" xfId="0" applyNumberFormat="1" applyFont="1" applyBorder="1" applyAlignment="1">
      <alignment horizontal="center"/>
    </xf>
    <xf numFmtId="167" fontId="11" fillId="0" borderId="0" xfId="1" applyNumberFormat="1" applyFont="1" applyBorder="1"/>
    <xf numFmtId="17" fontId="12" fillId="0" borderId="1" xfId="1" applyNumberFormat="1" applyFont="1" applyBorder="1"/>
    <xf numFmtId="37" fontId="11" fillId="3" borderId="8" xfId="0" applyNumberFormat="1" applyFont="1" applyFill="1" applyBorder="1" applyAlignment="1">
      <alignment horizontal="center"/>
    </xf>
    <xf numFmtId="39" fontId="11" fillId="0" borderId="0" xfId="0" applyFont="1" applyAlignment="1">
      <alignment horizontal="left"/>
    </xf>
    <xf numFmtId="39" fontId="11" fillId="0" borderId="0" xfId="0" applyFont="1" applyAlignment="1">
      <alignment horizontal="left" vertical="top"/>
    </xf>
    <xf numFmtId="39" fontId="11" fillId="0" borderId="0" xfId="0" applyFont="1" applyAlignment="1">
      <alignment horizontal="right"/>
    </xf>
    <xf numFmtId="37" fontId="11" fillId="0" borderId="8" xfId="0" applyNumberFormat="1" applyFont="1" applyFill="1" applyBorder="1" applyAlignment="1">
      <alignment horizontal="center"/>
    </xf>
    <xf numFmtId="39" fontId="11" fillId="8" borderId="0" xfId="0" applyFont="1" applyFill="1"/>
    <xf numFmtId="17" fontId="11" fillId="0" borderId="0" xfId="0" applyNumberFormat="1" applyFont="1" applyFill="1" applyAlignment="1">
      <alignment horizontal="right"/>
    </xf>
    <xf numFmtId="17" fontId="11" fillId="0" borderId="0" xfId="0" applyNumberFormat="1" applyFont="1" applyFill="1"/>
    <xf numFmtId="165" fontId="24" fillId="0" borderId="0" xfId="0" applyNumberFormat="1" applyFont="1" applyFill="1"/>
    <xf numFmtId="39" fontId="23" fillId="0" borderId="0" xfId="9" applyNumberFormat="1" applyFont="1" applyFill="1"/>
    <xf numFmtId="39" fontId="11" fillId="0" borderId="0" xfId="0" applyFont="1" applyAlignment="1">
      <alignment horizontal="left"/>
    </xf>
    <xf numFmtId="39" fontId="11" fillId="0" borderId="0" xfId="0" applyFont="1" applyAlignment="1">
      <alignment horizontal="left" vertical="top"/>
    </xf>
    <xf numFmtId="39" fontId="11" fillId="0" borderId="0" xfId="0" applyFont="1" applyAlignment="1">
      <alignment horizontal="left"/>
    </xf>
    <xf numFmtId="39" fontId="11" fillId="0" borderId="0" xfId="0" applyFont="1" applyAlignment="1">
      <alignment horizontal="left" vertical="top"/>
    </xf>
    <xf numFmtId="39" fontId="11" fillId="0" borderId="0" xfId="18" applyNumberFormat="1" applyFont="1" applyFill="1"/>
    <xf numFmtId="164" fontId="11" fillId="8" borderId="0" xfId="0" applyNumberFormat="1" applyFont="1" applyFill="1"/>
    <xf numFmtId="37" fontId="11" fillId="8" borderId="0" xfId="0" applyNumberFormat="1" applyFont="1" applyFill="1"/>
    <xf numFmtId="0" fontId="11" fillId="8" borderId="0" xfId="0" applyNumberFormat="1" applyFont="1" applyFill="1"/>
    <xf numFmtId="37" fontId="11" fillId="8" borderId="0" xfId="18" applyNumberFormat="1" applyFont="1" applyFill="1"/>
    <xf numFmtId="39" fontId="11" fillId="8" borderId="0" xfId="18" applyNumberFormat="1" applyFont="1" applyFill="1"/>
    <xf numFmtId="0" fontId="15" fillId="8" borderId="0" xfId="18" applyFont="1" applyFill="1"/>
    <xf numFmtId="39" fontId="11" fillId="0" borderId="0" xfId="0" applyFont="1" applyFill="1" applyAlignment="1">
      <alignment horizontal="left" wrapText="1"/>
    </xf>
    <xf numFmtId="39" fontId="11" fillId="0" borderId="0" xfId="0" applyFont="1" applyAlignment="1">
      <alignment horizontal="right"/>
    </xf>
    <xf numFmtId="39" fontId="11" fillId="0" borderId="0" xfId="0" applyFont="1" applyAlignment="1">
      <alignment horizontal="right"/>
    </xf>
    <xf numFmtId="43" fontId="23" fillId="0" borderId="0" xfId="1" applyFont="1" applyFill="1"/>
    <xf numFmtId="39" fontId="26" fillId="0" borderId="0" xfId="0" applyFont="1" applyAlignment="1">
      <alignment vertical="center"/>
    </xf>
    <xf numFmtId="39" fontId="21" fillId="0" borderId="28" xfId="0" applyFont="1" applyBorder="1" applyAlignment="1">
      <alignment horizontal="center" wrapText="1"/>
    </xf>
    <xf numFmtId="39" fontId="12" fillId="0" borderId="5" xfId="0" applyFont="1" applyBorder="1" applyAlignment="1">
      <alignment horizontal="center" wrapText="1"/>
    </xf>
    <xf numFmtId="39" fontId="11" fillId="0" borderId="7" xfId="0" applyFont="1" applyBorder="1" applyAlignment="1">
      <alignment horizontal="left"/>
    </xf>
    <xf numFmtId="0" fontId="5" fillId="0" borderId="0" xfId="20" applyFont="1"/>
    <xf numFmtId="0" fontId="28" fillId="0" borderId="0" xfId="20"/>
    <xf numFmtId="0" fontId="6" fillId="0" borderId="0" xfId="20" applyFont="1"/>
    <xf numFmtId="44" fontId="31" fillId="0" borderId="0" xfId="20" applyNumberFormat="1" applyFont="1"/>
    <xf numFmtId="0" fontId="31" fillId="0" borderId="0" xfId="20" applyFont="1"/>
    <xf numFmtId="49" fontId="6" fillId="0" borderId="0" xfId="20" applyNumberFormat="1" applyFont="1" applyAlignment="1">
      <alignment horizontal="center"/>
    </xf>
    <xf numFmtId="167" fontId="6" fillId="0" borderId="0" xfId="4" applyNumberFormat="1" applyFont="1"/>
    <xf numFmtId="0" fontId="31" fillId="0" borderId="0" xfId="20" applyFont="1" applyAlignment="1">
      <alignment horizontal="right"/>
    </xf>
    <xf numFmtId="44" fontId="6" fillId="0" borderId="0" xfId="20" applyNumberFormat="1" applyFont="1"/>
    <xf numFmtId="44" fontId="28" fillId="0" borderId="0" xfId="20" applyNumberFormat="1"/>
    <xf numFmtId="167" fontId="34" fillId="0" borderId="0" xfId="4" applyNumberFormat="1" applyFont="1"/>
    <xf numFmtId="49" fontId="31" fillId="0" borderId="0" xfId="4" applyNumberFormat="1" applyFont="1" applyAlignment="1"/>
    <xf numFmtId="49" fontId="6" fillId="0" borderId="0" xfId="20" applyNumberFormat="1" applyFont="1"/>
    <xf numFmtId="49" fontId="35" fillId="0" borderId="0" xfId="20" applyNumberFormat="1" applyFont="1" applyAlignment="1">
      <alignment vertical="center"/>
    </xf>
    <xf numFmtId="49" fontId="35" fillId="0" borderId="0" xfId="20" applyNumberFormat="1" applyFont="1" applyAlignment="1">
      <alignment horizontal="left" vertical="center"/>
    </xf>
    <xf numFmtId="49" fontId="36" fillId="0" borderId="0" xfId="20" applyNumberFormat="1" applyFont="1" applyAlignment="1">
      <alignment vertical="center"/>
    </xf>
    <xf numFmtId="0" fontId="28" fillId="0" borderId="0" xfId="20" applyAlignment="1">
      <alignment horizontal="left"/>
    </xf>
    <xf numFmtId="49" fontId="35" fillId="0" borderId="0" xfId="20" applyNumberFormat="1" applyFont="1" applyAlignment="1">
      <alignment vertical="top"/>
    </xf>
    <xf numFmtId="49" fontId="6" fillId="0" borderId="0" xfId="4" applyNumberFormat="1" applyFont="1"/>
    <xf numFmtId="0" fontId="6" fillId="9" borderId="0" xfId="20" applyFont="1" applyFill="1"/>
    <xf numFmtId="49" fontId="6" fillId="9" borderId="0" xfId="4" applyNumberFormat="1" applyFont="1" applyFill="1" applyBorder="1"/>
    <xf numFmtId="49" fontId="6" fillId="9" borderId="0" xfId="20" applyNumberFormat="1" applyFont="1" applyFill="1"/>
    <xf numFmtId="167" fontId="6" fillId="9" borderId="0" xfId="4" applyNumberFormat="1" applyFont="1" applyFill="1" applyBorder="1" applyAlignment="1">
      <alignment horizontal="center"/>
    </xf>
    <xf numFmtId="170" fontId="6" fillId="9" borderId="0" xfId="6" applyNumberFormat="1" applyFont="1" applyFill="1" applyBorder="1" applyAlignment="1">
      <alignment horizontal="center"/>
    </xf>
    <xf numFmtId="170" fontId="6" fillId="0" borderId="0" xfId="6" applyNumberFormat="1" applyFont="1" applyFill="1" applyBorder="1" applyAlignment="1">
      <alignment horizontal="center"/>
    </xf>
    <xf numFmtId="39" fontId="28" fillId="0" borderId="0" xfId="20" applyNumberFormat="1"/>
    <xf numFmtId="39" fontId="37" fillId="0" borderId="0" xfId="20" applyNumberFormat="1" applyFont="1"/>
    <xf numFmtId="39" fontId="28" fillId="0" borderId="0" xfId="20" applyNumberFormat="1" applyAlignment="1">
      <alignment horizontal="left"/>
    </xf>
    <xf numFmtId="0" fontId="5" fillId="9" borderId="0" xfId="4" applyNumberFormat="1" applyFont="1" applyFill="1" applyAlignment="1">
      <alignment horizontal="center" vertical="center"/>
    </xf>
    <xf numFmtId="49" fontId="29" fillId="9" borderId="0" xfId="20" applyNumberFormat="1" applyFont="1" applyFill="1" applyAlignment="1">
      <alignment horizontal="center"/>
    </xf>
    <xf numFmtId="49" fontId="29" fillId="9" borderId="0" xfId="4" applyNumberFormat="1" applyFont="1" applyFill="1" applyBorder="1"/>
    <xf numFmtId="49" fontId="29" fillId="9" borderId="0" xfId="20" applyNumberFormat="1" applyFont="1" applyFill="1"/>
    <xf numFmtId="49" fontId="6" fillId="9" borderId="0" xfId="20" applyNumberFormat="1" applyFont="1" applyFill="1" applyAlignment="1">
      <alignment horizontal="center"/>
    </xf>
    <xf numFmtId="49" fontId="29" fillId="9" borderId="1" xfId="20" applyNumberFormat="1" applyFont="1" applyFill="1" applyBorder="1" applyAlignment="1">
      <alignment horizontal="center"/>
    </xf>
    <xf numFmtId="49" fontId="29" fillId="9" borderId="1" xfId="4" applyNumberFormat="1" applyFont="1" applyFill="1" applyBorder="1" applyAlignment="1">
      <alignment horizontal="center"/>
    </xf>
    <xf numFmtId="49" fontId="6" fillId="9" borderId="1" xfId="20" applyNumberFormat="1" applyFont="1" applyFill="1" applyBorder="1" applyAlignment="1">
      <alignment horizontal="center"/>
    </xf>
    <xf numFmtId="167" fontId="6" fillId="9" borderId="1" xfId="4" applyNumberFormat="1" applyFont="1" applyFill="1" applyBorder="1" applyAlignment="1">
      <alignment horizontal="center"/>
    </xf>
    <xf numFmtId="171" fontId="40" fillId="9" borderId="1" xfId="6" applyNumberFormat="1" applyFont="1" applyFill="1" applyBorder="1" applyAlignment="1">
      <alignment horizontal="center"/>
    </xf>
    <xf numFmtId="170" fontId="6" fillId="9" borderId="1" xfId="6" applyNumberFormat="1" applyFont="1" applyFill="1" applyBorder="1" applyAlignment="1">
      <alignment horizontal="center"/>
    </xf>
    <xf numFmtId="0" fontId="41" fillId="0" borderId="0" xfId="20" applyFont="1" applyAlignment="1">
      <alignment horizontal="center"/>
    </xf>
    <xf numFmtId="0" fontId="41" fillId="0" borderId="0" xfId="20" applyFont="1" applyAlignment="1">
      <alignment horizontal="left"/>
    </xf>
    <xf numFmtId="0" fontId="6" fillId="0" borderId="0" xfId="20" applyFont="1" applyAlignment="1">
      <alignment horizontal="left" indent="1"/>
    </xf>
    <xf numFmtId="167" fontId="42" fillId="0" borderId="0" xfId="4" applyNumberFormat="1" applyFont="1" applyFill="1"/>
    <xf numFmtId="170" fontId="40" fillId="12" borderId="0" xfId="6" applyNumberFormat="1" applyFont="1" applyFill="1"/>
    <xf numFmtId="44" fontId="6" fillId="0" borderId="0" xfId="6"/>
    <xf numFmtId="44" fontId="6" fillId="0" borderId="8" xfId="6" applyBorder="1"/>
    <xf numFmtId="44" fontId="6" fillId="0" borderId="0" xfId="6" applyFill="1"/>
    <xf numFmtId="44" fontId="37" fillId="0" borderId="0" xfId="20" applyNumberFormat="1" applyFont="1"/>
    <xf numFmtId="44" fontId="29" fillId="0" borderId="0" xfId="20" applyNumberFormat="1" applyFont="1"/>
    <xf numFmtId="167" fontId="5" fillId="0" borderId="0" xfId="4" applyNumberFormat="1" applyFont="1"/>
    <xf numFmtId="167" fontId="43" fillId="0" borderId="0" xfId="4" applyNumberFormat="1" applyFont="1" applyFill="1"/>
    <xf numFmtId="170" fontId="44" fillId="3" borderId="0" xfId="6" applyNumberFormat="1" applyFont="1" applyFill="1"/>
    <xf numFmtId="44" fontId="6" fillId="0" borderId="0" xfId="6" applyBorder="1"/>
    <xf numFmtId="44" fontId="6" fillId="0" borderId="0" xfId="6" applyFont="1" applyFill="1"/>
    <xf numFmtId="0" fontId="31" fillId="0" borderId="0" xfId="6" applyNumberFormat="1" applyFont="1"/>
    <xf numFmtId="37" fontId="31" fillId="0" borderId="0" xfId="6" applyNumberFormat="1" applyFont="1" applyAlignment="1">
      <alignment horizontal="left"/>
    </xf>
    <xf numFmtId="167" fontId="45" fillId="0" borderId="0" xfId="4" applyNumberFormat="1" applyFont="1"/>
    <xf numFmtId="167" fontId="46" fillId="14" borderId="0" xfId="4" applyNumberFormat="1" applyFont="1" applyFill="1"/>
    <xf numFmtId="170" fontId="40" fillId="15" borderId="0" xfId="6" applyNumberFormat="1" applyFont="1" applyFill="1"/>
    <xf numFmtId="44" fontId="47" fillId="0" borderId="0" xfId="6" applyFont="1" applyFill="1"/>
    <xf numFmtId="167" fontId="48" fillId="0" borderId="0" xfId="4" applyNumberFormat="1" applyFont="1"/>
    <xf numFmtId="167" fontId="46" fillId="14" borderId="0" xfId="4" applyNumberFormat="1" applyFont="1" applyFill="1" applyAlignment="1">
      <alignment horizontal="left"/>
    </xf>
    <xf numFmtId="167" fontId="49" fillId="14" borderId="0" xfId="4" applyNumberFormat="1" applyFont="1" applyFill="1"/>
    <xf numFmtId="44" fontId="31" fillId="0" borderId="0" xfId="20" applyNumberFormat="1" applyFont="1" applyAlignment="1">
      <alignment horizontal="left"/>
    </xf>
    <xf numFmtId="49" fontId="6" fillId="0" borderId="0" xfId="4" applyNumberFormat="1" applyFont="1" applyFill="1"/>
    <xf numFmtId="167" fontId="50" fillId="0" borderId="0" xfId="4" applyNumberFormat="1" applyFont="1"/>
    <xf numFmtId="170" fontId="6" fillId="0" borderId="0" xfId="6" applyNumberFormat="1"/>
    <xf numFmtId="167" fontId="49" fillId="16" borderId="0" xfId="4" applyNumberFormat="1" applyFont="1" applyFill="1"/>
    <xf numFmtId="167" fontId="51" fillId="14" borderId="0" xfId="4" applyNumberFormat="1" applyFont="1" applyFill="1"/>
    <xf numFmtId="44" fontId="28" fillId="0" borderId="0" xfId="20" applyNumberFormat="1" applyAlignment="1">
      <alignment horizontal="left"/>
    </xf>
    <xf numFmtId="44" fontId="5" fillId="0" borderId="0" xfId="20" applyNumberFormat="1" applyFont="1"/>
    <xf numFmtId="167" fontId="51" fillId="16" borderId="0" xfId="4" applyNumberFormat="1" applyFont="1" applyFill="1"/>
    <xf numFmtId="0" fontId="29" fillId="0" borderId="0" xfId="20" applyFont="1" applyAlignment="1">
      <alignment horizontal="left" indent="1"/>
    </xf>
    <xf numFmtId="49" fontId="6" fillId="0" borderId="0" xfId="20" applyNumberFormat="1" applyFont="1" applyAlignment="1">
      <alignment horizontal="right"/>
    </xf>
    <xf numFmtId="49" fontId="29" fillId="0" borderId="0" xfId="20" applyNumberFormat="1" applyFont="1"/>
    <xf numFmtId="167" fontId="31" fillId="0" borderId="0" xfId="4" applyNumberFormat="1" applyFont="1"/>
    <xf numFmtId="167" fontId="32" fillId="0" borderId="0" xfId="4" applyNumberFormat="1" applyFont="1"/>
    <xf numFmtId="44" fontId="29" fillId="10" borderId="0" xfId="20" applyNumberFormat="1" applyFont="1" applyFill="1" applyAlignment="1">
      <alignment horizontal="center"/>
    </xf>
    <xf numFmtId="44" fontId="29" fillId="17" borderId="0" xfId="20" applyNumberFormat="1" applyFont="1" applyFill="1" applyAlignment="1">
      <alignment horizontal="center"/>
    </xf>
    <xf numFmtId="44" fontId="29" fillId="18" borderId="0" xfId="6" applyFont="1" applyFill="1" applyBorder="1"/>
    <xf numFmtId="44" fontId="29" fillId="0" borderId="0" xfId="6" applyFont="1"/>
    <xf numFmtId="44" fontId="29" fillId="3" borderId="0" xfId="6" applyFont="1" applyFill="1"/>
    <xf numFmtId="44" fontId="29" fillId="0" borderId="0" xfId="6" applyFont="1" applyBorder="1"/>
    <xf numFmtId="44" fontId="29" fillId="0" borderId="0" xfId="6" applyFont="1" applyAlignment="1">
      <alignment horizontal="left"/>
    </xf>
    <xf numFmtId="44" fontId="36" fillId="0" borderId="0" xfId="6" applyFont="1"/>
    <xf numFmtId="49" fontId="31" fillId="0" borderId="0" xfId="20" applyNumberFormat="1" applyFont="1"/>
    <xf numFmtId="167" fontId="32" fillId="14" borderId="0" xfId="4" applyNumberFormat="1" applyFont="1" applyFill="1"/>
    <xf numFmtId="167" fontId="6" fillId="0" borderId="0" xfId="4" applyNumberFormat="1"/>
    <xf numFmtId="44" fontId="50" fillId="0" borderId="0" xfId="6" applyFont="1"/>
    <xf numFmtId="44" fontId="50" fillId="0" borderId="0" xfId="6" applyFont="1" applyAlignment="1">
      <alignment horizontal="left"/>
    </xf>
    <xf numFmtId="44" fontId="42" fillId="0" borderId="0" xfId="6" applyFont="1"/>
    <xf numFmtId="167" fontId="5" fillId="0" borderId="0" xfId="4" applyNumberFormat="1" applyFont="1" applyAlignment="1">
      <alignment horizontal="center"/>
    </xf>
    <xf numFmtId="44" fontId="6" fillId="0" borderId="0" xfId="6" applyFont="1"/>
    <xf numFmtId="167" fontId="36" fillId="0" borderId="0" xfId="4" applyNumberFormat="1" applyFont="1" applyAlignment="1">
      <alignment horizontal="center" vertical="center"/>
    </xf>
    <xf numFmtId="170" fontId="45" fillId="0" borderId="0" xfId="6" applyNumberFormat="1" applyFont="1"/>
    <xf numFmtId="170" fontId="6" fillId="0" borderId="0" xfId="6" applyNumberFormat="1" applyBorder="1"/>
    <xf numFmtId="170" fontId="6" fillId="0" borderId="0" xfId="6" applyNumberFormat="1" applyFont="1" applyAlignment="1">
      <alignment horizontal="left"/>
    </xf>
    <xf numFmtId="43" fontId="6" fillId="0" borderId="0" xfId="4" applyFont="1" applyAlignment="1">
      <alignment horizontal="left"/>
    </xf>
    <xf numFmtId="172" fontId="6" fillId="0" borderId="0" xfId="6" applyNumberFormat="1"/>
    <xf numFmtId="44" fontId="50" fillId="0" borderId="0" xfId="6" applyFont="1" applyFill="1"/>
    <xf numFmtId="43" fontId="29" fillId="0" borderId="0" xfId="4" applyFont="1" applyAlignment="1">
      <alignment horizontal="left"/>
    </xf>
    <xf numFmtId="44" fontId="40" fillId="0" borderId="0" xfId="6" applyFont="1" applyFill="1"/>
    <xf numFmtId="43" fontId="6" fillId="0" borderId="0" xfId="4"/>
    <xf numFmtId="170" fontId="5" fillId="0" borderId="0" xfId="6" applyNumberFormat="1" applyFont="1" applyAlignment="1">
      <alignment horizontal="left"/>
    </xf>
    <xf numFmtId="49" fontId="5" fillId="0" borderId="0" xfId="4" applyNumberFormat="1" applyFont="1" applyAlignment="1"/>
    <xf numFmtId="49" fontId="34" fillId="0" borderId="0" xfId="4" applyNumberFormat="1" applyFont="1"/>
    <xf numFmtId="49" fontId="36" fillId="0" borderId="0" xfId="4" applyNumberFormat="1" applyFont="1" applyAlignment="1">
      <alignment horizontal="left"/>
    </xf>
    <xf numFmtId="43" fontId="34" fillId="0" borderId="0" xfId="4" applyFont="1"/>
    <xf numFmtId="167" fontId="34" fillId="19" borderId="0" xfId="4" applyNumberFormat="1" applyFont="1" applyFill="1"/>
    <xf numFmtId="43" fontId="52" fillId="0" borderId="0" xfId="4" applyFont="1"/>
    <xf numFmtId="167" fontId="53" fillId="0" borderId="0" xfId="4" applyNumberFormat="1" applyFont="1" applyFill="1"/>
    <xf numFmtId="43" fontId="53" fillId="0" borderId="0" xfId="4" applyFont="1" applyFill="1"/>
    <xf numFmtId="49" fontId="32" fillId="0" borderId="0" xfId="4" applyNumberFormat="1" applyFont="1" applyBorder="1"/>
    <xf numFmtId="167" fontId="53" fillId="0" borderId="0" xfId="4" applyNumberFormat="1" applyFont="1"/>
    <xf numFmtId="167" fontId="6" fillId="19" borderId="0" xfId="4" applyNumberFormat="1" applyFont="1" applyFill="1"/>
    <xf numFmtId="167" fontId="55" fillId="0" borderId="0" xfId="4" applyNumberFormat="1" applyFont="1" applyAlignment="1">
      <alignment horizontal="center"/>
    </xf>
    <xf numFmtId="49" fontId="34" fillId="0" borderId="1" xfId="4" applyNumberFormat="1" applyFont="1" applyBorder="1"/>
    <xf numFmtId="49" fontId="32" fillId="0" borderId="1" xfId="4" applyNumberFormat="1" applyFont="1" applyBorder="1"/>
    <xf numFmtId="167" fontId="31" fillId="0" borderId="1" xfId="4" applyNumberFormat="1" applyFont="1" applyBorder="1" applyAlignment="1">
      <alignment horizontal="center"/>
    </xf>
    <xf numFmtId="167" fontId="31" fillId="0" borderId="0" xfId="4" applyNumberFormat="1" applyFont="1" applyAlignment="1">
      <alignment vertical="center"/>
    </xf>
    <xf numFmtId="167" fontId="31" fillId="19" borderId="0" xfId="4" applyNumberFormat="1" applyFont="1" applyFill="1"/>
    <xf numFmtId="167" fontId="32" fillId="0" borderId="0" xfId="4" applyNumberFormat="1" applyFont="1" applyAlignment="1">
      <alignment vertical="center"/>
    </xf>
    <xf numFmtId="167" fontId="53" fillId="0" borderId="0" xfId="4" applyNumberFormat="1" applyFont="1" applyAlignment="1">
      <alignment horizontal="center"/>
    </xf>
    <xf numFmtId="167" fontId="56" fillId="20" borderId="1" xfId="4" applyNumberFormat="1" applyFont="1" applyFill="1" applyBorder="1"/>
    <xf numFmtId="167" fontId="57" fillId="20" borderId="15" xfId="4" applyNumberFormat="1" applyFont="1" applyFill="1" applyBorder="1" applyAlignment="1">
      <alignment horizontal="center"/>
    </xf>
    <xf numFmtId="43" fontId="57" fillId="20" borderId="15" xfId="4" applyFont="1" applyFill="1" applyBorder="1" applyAlignment="1">
      <alignment horizontal="center"/>
    </xf>
    <xf numFmtId="167" fontId="58" fillId="20" borderId="1" xfId="4" applyNumberFormat="1" applyFont="1" applyFill="1" applyBorder="1" applyAlignment="1">
      <alignment horizontal="center"/>
    </xf>
    <xf numFmtId="43" fontId="58" fillId="20" borderId="1" xfId="4" applyFont="1" applyFill="1" applyBorder="1" applyAlignment="1">
      <alignment horizontal="center"/>
    </xf>
    <xf numFmtId="167" fontId="32" fillId="19" borderId="0" xfId="4" applyNumberFormat="1" applyFont="1" applyFill="1"/>
    <xf numFmtId="43" fontId="41" fillId="0" borderId="0" xfId="4" applyFont="1" applyAlignment="1">
      <alignment horizontal="center"/>
    </xf>
    <xf numFmtId="167" fontId="59" fillId="20" borderId="0" xfId="4" applyNumberFormat="1" applyFont="1" applyFill="1" applyAlignment="1">
      <alignment horizontal="center"/>
    </xf>
    <xf numFmtId="49" fontId="6" fillId="21" borderId="0" xfId="4" applyNumberFormat="1" applyFont="1" applyFill="1" applyAlignment="1">
      <alignment horizontal="right"/>
    </xf>
    <xf numFmtId="0" fontId="6" fillId="21" borderId="0" xfId="4" applyNumberFormat="1" applyFont="1" applyFill="1" applyAlignment="1">
      <alignment horizontal="center"/>
    </xf>
    <xf numFmtId="0" fontId="32" fillId="0" borderId="0" xfId="4" applyNumberFormat="1" applyFont="1" applyAlignment="1">
      <alignment horizontal="center"/>
    </xf>
    <xf numFmtId="167" fontId="6" fillId="0" borderId="0" xfId="4" applyNumberFormat="1" applyFont="1" applyAlignment="1">
      <alignment horizontal="center"/>
    </xf>
    <xf numFmtId="167" fontId="6" fillId="0" borderId="0" xfId="4" applyNumberFormat="1" applyFont="1" applyAlignment="1">
      <alignment horizontal="left" indent="3"/>
    </xf>
    <xf numFmtId="44" fontId="6" fillId="22" borderId="0" xfId="6" applyFont="1" applyFill="1"/>
    <xf numFmtId="167" fontId="6" fillId="0" borderId="0" xfId="4" applyNumberFormat="1" applyFont="1" applyFill="1" applyAlignment="1">
      <alignment horizontal="left"/>
    </xf>
    <xf numFmtId="167" fontId="60" fillId="19" borderId="0" xfId="4" applyNumberFormat="1" applyFont="1" applyFill="1"/>
    <xf numFmtId="167" fontId="29" fillId="0" borderId="0" xfId="4" applyNumberFormat="1" applyFont="1" applyAlignment="1">
      <alignment horizontal="left" indent="3"/>
    </xf>
    <xf numFmtId="44" fontId="37" fillId="22" borderId="0" xfId="6" applyFont="1" applyFill="1"/>
    <xf numFmtId="167" fontId="29" fillId="0" borderId="0" xfId="4" applyNumberFormat="1" applyFont="1"/>
    <xf numFmtId="167" fontId="60" fillId="0" borderId="0" xfId="4" applyNumberFormat="1" applyFont="1" applyAlignment="1">
      <alignment horizontal="left"/>
    </xf>
    <xf numFmtId="44" fontId="33" fillId="22" borderId="0" xfId="6" applyFont="1" applyFill="1"/>
    <xf numFmtId="167" fontId="34" fillId="0" borderId="0" xfId="4" applyNumberFormat="1" applyFont="1" applyAlignment="1">
      <alignment horizontal="left"/>
    </xf>
    <xf numFmtId="0" fontId="32" fillId="22" borderId="0" xfId="6" applyNumberFormat="1" applyFont="1" applyFill="1" applyAlignment="1">
      <alignment horizontal="center"/>
    </xf>
    <xf numFmtId="167" fontId="31" fillId="0" borderId="2" xfId="4" applyNumberFormat="1" applyFont="1" applyBorder="1"/>
    <xf numFmtId="167" fontId="61" fillId="0" borderId="0" xfId="4" applyNumberFormat="1" applyFont="1" applyAlignment="1">
      <alignment horizontal="left"/>
    </xf>
    <xf numFmtId="167" fontId="53" fillId="0" borderId="0" xfId="4" applyNumberFormat="1" applyFont="1" applyAlignment="1">
      <alignment horizontal="left"/>
    </xf>
    <xf numFmtId="167" fontId="6" fillId="0" borderId="0" xfId="4" applyNumberFormat="1" applyFont="1" applyFill="1"/>
    <xf numFmtId="44" fontId="6" fillId="4" borderId="0" xfId="6" applyFont="1" applyFill="1"/>
    <xf numFmtId="167" fontId="37" fillId="0" borderId="0" xfId="4" applyNumberFormat="1" applyFont="1"/>
    <xf numFmtId="44" fontId="37" fillId="4" borderId="0" xfId="6" applyFont="1" applyFill="1"/>
    <xf numFmtId="167" fontId="62" fillId="0" borderId="0" xfId="4" applyNumberFormat="1" applyFont="1" applyAlignment="1">
      <alignment horizontal="left"/>
    </xf>
    <xf numFmtId="167" fontId="62" fillId="0" borderId="0" xfId="4" applyNumberFormat="1" applyFont="1" applyAlignment="1">
      <alignment horizontal="left" indent="1"/>
    </xf>
    <xf numFmtId="44" fontId="63" fillId="23" borderId="0" xfId="6" applyFont="1" applyFill="1"/>
    <xf numFmtId="0" fontId="32" fillId="4" borderId="0" xfId="4" applyNumberFormat="1" applyFont="1" applyFill="1" applyAlignment="1">
      <alignment horizontal="center"/>
    </xf>
    <xf numFmtId="167" fontId="6" fillId="0" borderId="0" xfId="4" applyNumberFormat="1" applyFont="1" applyFill="1" applyAlignment="1">
      <alignment horizontal="left" indent="3"/>
    </xf>
    <xf numFmtId="167" fontId="6" fillId="0" borderId="0" xfId="4" applyNumberFormat="1" applyFont="1" applyAlignment="1">
      <alignment horizontal="left" indent="4"/>
    </xf>
    <xf numFmtId="167" fontId="64" fillId="0" borderId="0" xfId="4" applyNumberFormat="1" applyFont="1" applyAlignment="1">
      <alignment horizontal="left" indent="4"/>
    </xf>
    <xf numFmtId="44" fontId="33" fillId="4" borderId="0" xfId="6" applyFont="1" applyFill="1"/>
    <xf numFmtId="167" fontId="65" fillId="0" borderId="0" xfId="4" applyNumberFormat="1" applyFont="1" applyAlignment="1">
      <alignment horizontal="left"/>
    </xf>
    <xf numFmtId="43" fontId="60" fillId="19" borderId="0" xfId="4" applyFont="1" applyFill="1"/>
    <xf numFmtId="49" fontId="6" fillId="6" borderId="0" xfId="4" applyNumberFormat="1" applyFont="1" applyFill="1" applyAlignment="1">
      <alignment horizontal="right"/>
    </xf>
    <xf numFmtId="0" fontId="6" fillId="6" borderId="0" xfId="4" applyNumberFormat="1" applyFont="1" applyFill="1" applyAlignment="1">
      <alignment horizontal="center"/>
    </xf>
    <xf numFmtId="0" fontId="32" fillId="24" borderId="0" xfId="4" applyNumberFormat="1" applyFont="1" applyFill="1" applyAlignment="1">
      <alignment horizontal="center"/>
    </xf>
    <xf numFmtId="167" fontId="31" fillId="24" borderId="0" xfId="4" applyNumberFormat="1" applyFont="1" applyFill="1"/>
    <xf numFmtId="44" fontId="37" fillId="24" borderId="0" xfId="6" applyFont="1" applyFill="1"/>
    <xf numFmtId="167" fontId="61" fillId="0" borderId="0" xfId="4" applyNumberFormat="1" applyFont="1"/>
    <xf numFmtId="167" fontId="60" fillId="19" borderId="0" xfId="4" applyNumberFormat="1" applyFont="1" applyFill="1" applyAlignment="1">
      <alignment horizontal="left" vertical="top"/>
    </xf>
    <xf numFmtId="167" fontId="5" fillId="0" borderId="0" xfId="4" applyNumberFormat="1" applyFont="1" applyAlignment="1"/>
    <xf numFmtId="43" fontId="66" fillId="0" borderId="0" xfId="4" applyFont="1"/>
    <xf numFmtId="167" fontId="64" fillId="0" borderId="0" xfId="4" applyNumberFormat="1" applyFont="1" applyAlignment="1">
      <alignment horizontal="left"/>
    </xf>
    <xf numFmtId="167" fontId="66" fillId="0" borderId="0" xfId="4" applyNumberFormat="1" applyFont="1"/>
    <xf numFmtId="167" fontId="6" fillId="0" borderId="1" xfId="4" applyNumberFormat="1" applyFont="1" applyBorder="1"/>
    <xf numFmtId="44" fontId="6" fillId="4" borderId="1" xfId="6" applyFont="1" applyFill="1" applyBorder="1"/>
    <xf numFmtId="167" fontId="50" fillId="0" borderId="1" xfId="4" applyNumberFormat="1" applyFont="1" applyBorder="1"/>
    <xf numFmtId="44" fontId="50" fillId="4" borderId="0" xfId="6" applyFont="1" applyFill="1"/>
    <xf numFmtId="44" fontId="33" fillId="4" borderId="1" xfId="6" applyFont="1" applyFill="1" applyBorder="1"/>
    <xf numFmtId="49" fontId="6" fillId="21" borderId="0" xfId="4" applyNumberFormat="1" applyFont="1" applyFill="1" applyAlignment="1">
      <alignment horizontal="center"/>
    </xf>
    <xf numFmtId="49" fontId="32" fillId="0" borderId="0" xfId="4" applyNumberFormat="1" applyFont="1" applyAlignment="1">
      <alignment horizontal="center"/>
    </xf>
    <xf numFmtId="43" fontId="31" fillId="0" borderId="15" xfId="4" applyFont="1" applyBorder="1"/>
    <xf numFmtId="167" fontId="6" fillId="0" borderId="2" xfId="4" applyNumberFormat="1" applyFont="1" applyBorder="1"/>
    <xf numFmtId="44" fontId="6" fillId="0" borderId="2" xfId="6" applyFont="1" applyBorder="1"/>
    <xf numFmtId="44" fontId="6" fillId="0" borderId="15" xfId="6" applyFont="1" applyBorder="1"/>
    <xf numFmtId="44" fontId="31" fillId="0" borderId="15" xfId="6" applyFont="1" applyBorder="1"/>
    <xf numFmtId="44" fontId="53" fillId="0" borderId="0" xfId="6" applyFont="1"/>
    <xf numFmtId="43" fontId="6" fillId="0" borderId="2" xfId="4" applyFont="1" applyBorder="1"/>
    <xf numFmtId="167" fontId="60" fillId="0" borderId="0" xfId="4" applyNumberFormat="1" applyFont="1" applyAlignment="1">
      <alignment horizontal="left" indent="3"/>
    </xf>
    <xf numFmtId="43" fontId="60" fillId="0" borderId="2" xfId="4" applyFont="1" applyBorder="1"/>
    <xf numFmtId="167" fontId="34" fillId="0" borderId="0" xfId="4" applyNumberFormat="1" applyFont="1" applyFill="1" applyAlignment="1">
      <alignment horizontal="left"/>
    </xf>
    <xf numFmtId="167" fontId="60" fillId="0" borderId="2" xfId="4" applyNumberFormat="1" applyFont="1" applyBorder="1"/>
    <xf numFmtId="43" fontId="60" fillId="0" borderId="0" xfId="4" applyFont="1"/>
    <xf numFmtId="167" fontId="60" fillId="0" borderId="0" xfId="4" applyNumberFormat="1" applyFont="1" applyAlignment="1">
      <alignment horizontal="left" indent="4"/>
    </xf>
    <xf numFmtId="167" fontId="60" fillId="0" borderId="0" xfId="4" applyNumberFormat="1" applyFont="1" applyAlignment="1"/>
    <xf numFmtId="44" fontId="37" fillId="22" borderId="0" xfId="6" applyFont="1" applyFill="1" applyAlignment="1"/>
    <xf numFmtId="44" fontId="34" fillId="0" borderId="0" xfId="6" applyFont="1"/>
    <xf numFmtId="167" fontId="60" fillId="0" borderId="1" xfId="4" applyNumberFormat="1" applyFont="1" applyBorder="1" applyAlignment="1">
      <alignment horizontal="left" indent="3"/>
    </xf>
    <xf numFmtId="44" fontId="6" fillId="22" borderId="1" xfId="6" applyFont="1" applyFill="1" applyBorder="1"/>
    <xf numFmtId="167" fontId="6" fillId="0" borderId="1" xfId="4" applyNumberFormat="1" applyFont="1" applyBorder="1" applyAlignment="1">
      <alignment horizontal="left" indent="3"/>
    </xf>
    <xf numFmtId="44" fontId="33" fillId="22" borderId="1" xfId="6" applyFont="1" applyFill="1" applyBorder="1"/>
    <xf numFmtId="167" fontId="6" fillId="0" borderId="15" xfId="4" applyNumberFormat="1" applyFont="1" applyBorder="1"/>
    <xf numFmtId="167" fontId="60" fillId="0" borderId="15" xfId="4" applyNumberFormat="1" applyFont="1" applyBorder="1" applyAlignment="1">
      <alignment horizontal="left" indent="3"/>
    </xf>
    <xf numFmtId="167" fontId="6" fillId="0" borderId="2" xfId="4" applyNumberFormat="1" applyFont="1" applyBorder="1" applyAlignment="1">
      <alignment horizontal="left" indent="3"/>
    </xf>
    <xf numFmtId="167" fontId="60" fillId="0" borderId="2" xfId="4" applyNumberFormat="1" applyFont="1" applyBorder="1" applyAlignment="1"/>
    <xf numFmtId="44" fontId="31" fillId="0" borderId="2" xfId="6" applyFont="1" applyBorder="1"/>
    <xf numFmtId="167" fontId="60" fillId="0" borderId="2" xfId="4" applyNumberFormat="1" applyFont="1" applyBorder="1" applyAlignment="1">
      <alignment horizontal="left"/>
    </xf>
    <xf numFmtId="167" fontId="60" fillId="0" borderId="2" xfId="4" applyNumberFormat="1" applyFont="1" applyBorder="1" applyAlignment="1">
      <alignment horizontal="left" indent="3"/>
    </xf>
    <xf numFmtId="167" fontId="34" fillId="0" borderId="2" xfId="4" applyNumberFormat="1" applyFont="1" applyBorder="1"/>
    <xf numFmtId="167" fontId="31" fillId="0" borderId="0" xfId="4" applyNumberFormat="1" applyFont="1" applyAlignment="1">
      <alignment horizontal="left"/>
    </xf>
    <xf numFmtId="167" fontId="61" fillId="0" borderId="0" xfId="4" applyNumberFormat="1" applyFont="1" applyAlignment="1"/>
    <xf numFmtId="167" fontId="32" fillId="0" borderId="0" xfId="4" applyNumberFormat="1" applyFont="1" applyAlignment="1">
      <alignment horizontal="left"/>
    </xf>
    <xf numFmtId="167" fontId="31" fillId="0" borderId="0" xfId="4" applyNumberFormat="1" applyFont="1" applyBorder="1"/>
    <xf numFmtId="44" fontId="6" fillId="0" borderId="0" xfId="6" applyFont="1" applyBorder="1"/>
    <xf numFmtId="167" fontId="6" fillId="0" borderId="0" xfId="4" applyNumberFormat="1" applyFont="1" applyBorder="1" applyAlignment="1">
      <alignment horizontal="left" indent="3"/>
    </xf>
    <xf numFmtId="44" fontId="33" fillId="4" borderId="0" xfId="6" applyFont="1" applyFill="1" applyBorder="1"/>
    <xf numFmtId="167" fontId="61" fillId="0" borderId="0" xfId="4" applyNumberFormat="1" applyFont="1" applyBorder="1" applyAlignment="1"/>
    <xf numFmtId="167" fontId="31" fillId="0" borderId="1" xfId="4" applyNumberFormat="1" applyFont="1" applyBorder="1"/>
    <xf numFmtId="167" fontId="6" fillId="0" borderId="1" xfId="4" applyNumberFormat="1" applyFont="1" applyBorder="1" applyAlignment="1">
      <alignment horizontal="center"/>
    </xf>
    <xf numFmtId="44" fontId="6" fillId="0" borderId="1" xfId="6" applyFont="1" applyBorder="1"/>
    <xf numFmtId="167" fontId="34" fillId="19" borderId="0" xfId="4" applyNumberFormat="1" applyFont="1" applyFill="1" applyBorder="1"/>
    <xf numFmtId="167" fontId="6" fillId="0" borderId="0" xfId="4" applyNumberFormat="1" applyFont="1" applyFill="1" applyBorder="1" applyAlignment="1">
      <alignment horizontal="left"/>
    </xf>
    <xf numFmtId="167" fontId="60" fillId="19" borderId="0" xfId="4" applyNumberFormat="1" applyFont="1" applyFill="1" applyBorder="1"/>
    <xf numFmtId="167" fontId="6" fillId="0" borderId="0" xfId="4" applyNumberFormat="1" applyFont="1" applyBorder="1"/>
    <xf numFmtId="49" fontId="32" fillId="0" borderId="0" xfId="4" applyNumberFormat="1" applyFont="1"/>
    <xf numFmtId="167" fontId="60" fillId="0" borderId="1" xfId="4" applyNumberFormat="1" applyFont="1" applyBorder="1"/>
    <xf numFmtId="44" fontId="31" fillId="0" borderId="1" xfId="6" applyFont="1" applyBorder="1"/>
    <xf numFmtId="167" fontId="34" fillId="0" borderId="0" xfId="4" applyNumberFormat="1" applyFont="1" applyAlignment="1">
      <alignment horizontal="left" indent="1"/>
    </xf>
    <xf numFmtId="43" fontId="6" fillId="0" borderId="15" xfId="4" applyFont="1" applyBorder="1"/>
    <xf numFmtId="167" fontId="60" fillId="0" borderId="15" xfId="4" applyNumberFormat="1" applyFont="1" applyBorder="1"/>
    <xf numFmtId="43" fontId="60" fillId="0" borderId="15" xfId="4" applyFont="1" applyBorder="1"/>
    <xf numFmtId="167" fontId="60" fillId="0" borderId="0" xfId="4" applyNumberFormat="1" applyFont="1" applyFill="1" applyAlignment="1">
      <alignment horizontal="left"/>
    </xf>
    <xf numFmtId="167" fontId="29" fillId="0" borderId="15" xfId="4" applyNumberFormat="1" applyFont="1" applyBorder="1"/>
    <xf numFmtId="44" fontId="29" fillId="0" borderId="15" xfId="6" applyFont="1" applyBorder="1"/>
    <xf numFmtId="167" fontId="34" fillId="0" borderId="15" xfId="4" applyNumberFormat="1" applyFont="1" applyBorder="1"/>
    <xf numFmtId="43" fontId="6" fillId="0" borderId="0" xfId="4" applyFont="1"/>
    <xf numFmtId="167" fontId="31" fillId="0" borderId="15" xfId="4" applyNumberFormat="1" applyFont="1" applyBorder="1"/>
    <xf numFmtId="167" fontId="31" fillId="0" borderId="0" xfId="4" applyNumberFormat="1" applyFont="1" applyFill="1" applyAlignment="1">
      <alignment horizontal="left"/>
    </xf>
    <xf numFmtId="167" fontId="32" fillId="0" borderId="15" xfId="4" applyNumberFormat="1" applyFont="1" applyBorder="1"/>
    <xf numFmtId="44" fontId="32" fillId="0" borderId="15" xfId="6" applyFont="1" applyBorder="1"/>
    <xf numFmtId="43" fontId="34" fillId="0" borderId="2" xfId="4" applyFont="1" applyBorder="1"/>
    <xf numFmtId="167" fontId="60" fillId="0" borderId="0" xfId="4" applyNumberFormat="1" applyFont="1"/>
    <xf numFmtId="167" fontId="29" fillId="0" borderId="0" xfId="4" applyNumberFormat="1" applyFont="1" applyAlignment="1">
      <alignment horizontal="center"/>
    </xf>
    <xf numFmtId="44" fontId="31" fillId="11" borderId="0" xfId="6" applyFont="1" applyFill="1"/>
    <xf numFmtId="44" fontId="31" fillId="25" borderId="0" xfId="6" applyFont="1" applyFill="1"/>
    <xf numFmtId="44" fontId="31" fillId="4" borderId="0" xfId="6" applyFont="1" applyFill="1"/>
    <xf numFmtId="44" fontId="34" fillId="23" borderId="0" xfId="6" applyFont="1" applyFill="1"/>
    <xf numFmtId="44" fontId="31" fillId="22" borderId="0" xfId="6" applyFont="1" applyFill="1"/>
    <xf numFmtId="44" fontId="34" fillId="22" borderId="0" xfId="6" applyFont="1" applyFill="1"/>
    <xf numFmtId="167" fontId="60" fillId="0" borderId="0" xfId="4" applyNumberFormat="1" applyFont="1" applyFill="1"/>
    <xf numFmtId="44" fontId="53" fillId="0" borderId="15" xfId="6" applyFont="1" applyBorder="1"/>
    <xf numFmtId="44" fontId="53" fillId="0" borderId="0" xfId="6" applyFont="1" applyBorder="1"/>
    <xf numFmtId="44" fontId="31" fillId="0" borderId="0" xfId="6" applyFont="1" applyBorder="1"/>
    <xf numFmtId="0" fontId="31" fillId="0" borderId="0" xfId="4" applyNumberFormat="1" applyFont="1" applyAlignment="1">
      <alignment horizontal="left" indent="2"/>
    </xf>
    <xf numFmtId="0" fontId="31" fillId="0" borderId="1" xfId="4" applyNumberFormat="1" applyFont="1" applyFill="1" applyBorder="1" applyAlignment="1">
      <alignment horizontal="center"/>
    </xf>
    <xf numFmtId="0" fontId="31" fillId="0" borderId="0" xfId="4" applyNumberFormat="1" applyFont="1" applyFill="1" applyAlignment="1">
      <alignment horizontal="center"/>
    </xf>
    <xf numFmtId="43" fontId="32" fillId="0" borderId="2" xfId="4" applyFont="1" applyBorder="1"/>
    <xf numFmtId="167" fontId="67" fillId="0" borderId="0" xfId="4" applyNumberFormat="1" applyFont="1" applyAlignment="1">
      <alignment horizontal="left" wrapText="1"/>
    </xf>
    <xf numFmtId="43" fontId="32" fillId="0" borderId="15" xfId="4" applyFont="1" applyFill="1" applyBorder="1"/>
    <xf numFmtId="0" fontId="68" fillId="0" borderId="0" xfId="4" applyNumberFormat="1" applyFont="1" applyAlignment="1">
      <alignment horizontal="left"/>
    </xf>
    <xf numFmtId="43" fontId="31" fillId="0" borderId="0" xfId="4" applyFont="1" applyFill="1" applyAlignment="1">
      <alignment horizontal="left"/>
    </xf>
    <xf numFmtId="43" fontId="31" fillId="0" borderId="2" xfId="4" applyFont="1" applyFill="1" applyBorder="1" applyAlignment="1">
      <alignment horizontal="left"/>
    </xf>
    <xf numFmtId="167" fontId="34" fillId="0" borderId="0" xfId="4" applyNumberFormat="1" applyFont="1" applyBorder="1"/>
    <xf numFmtId="43" fontId="31" fillId="25" borderId="0" xfId="4" applyFont="1" applyFill="1"/>
    <xf numFmtId="43" fontId="31" fillId="0" borderId="0" xfId="4" applyFont="1" applyAlignment="1">
      <alignment horizontal="left"/>
    </xf>
    <xf numFmtId="43" fontId="31" fillId="0" borderId="0" xfId="4" applyFont="1" applyBorder="1" applyAlignment="1">
      <alignment horizontal="left"/>
    </xf>
    <xf numFmtId="43" fontId="31" fillId="0" borderId="0" xfId="4" applyFont="1"/>
    <xf numFmtId="0" fontId="68" fillId="0" borderId="15" xfId="4" applyNumberFormat="1" applyFont="1" applyBorder="1" applyAlignment="1">
      <alignment horizontal="left"/>
    </xf>
    <xf numFmtId="167" fontId="53" fillId="0" borderId="0" xfId="4" applyNumberFormat="1" applyFont="1" applyBorder="1"/>
    <xf numFmtId="43" fontId="31" fillId="0" borderId="1" xfId="4" applyFont="1" applyBorder="1"/>
    <xf numFmtId="43" fontId="32" fillId="3" borderId="15" xfId="4" applyFont="1" applyFill="1" applyBorder="1" applyAlignment="1">
      <alignment horizontal="left"/>
    </xf>
    <xf numFmtId="167" fontId="53" fillId="0" borderId="0" xfId="4" applyNumberFormat="1" applyFont="1" applyFill="1" applyBorder="1"/>
    <xf numFmtId="43" fontId="34" fillId="0" borderId="0" xfId="4" applyFont="1" applyBorder="1"/>
    <xf numFmtId="167" fontId="34" fillId="0" borderId="0" xfId="4" applyNumberFormat="1" applyFont="1" applyFill="1"/>
    <xf numFmtId="0" fontId="5" fillId="0" borderId="0" xfId="20" applyFont="1" applyFill="1"/>
    <xf numFmtId="0" fontId="5" fillId="0" borderId="0" xfId="20" applyFont="1" applyFill="1" applyAlignment="1">
      <alignment horizontal="right"/>
    </xf>
    <xf numFmtId="0" fontId="28" fillId="0" borderId="0" xfId="20" applyFill="1"/>
    <xf numFmtId="169" fontId="5" fillId="0" borderId="0" xfId="20" applyNumberFormat="1" applyFont="1" applyFill="1" applyAlignment="1">
      <alignment horizontal="left"/>
    </xf>
    <xf numFmtId="169" fontId="5" fillId="0" borderId="0" xfId="20" applyNumberFormat="1" applyFont="1" applyFill="1"/>
    <xf numFmtId="0" fontId="28" fillId="0" borderId="29" xfId="20" applyFill="1" applyBorder="1" applyAlignment="1">
      <alignment horizontal="center"/>
    </xf>
    <xf numFmtId="0" fontId="28" fillId="0" borderId="1" xfId="20" applyFill="1" applyBorder="1" applyAlignment="1">
      <alignment horizontal="center"/>
    </xf>
    <xf numFmtId="0" fontId="29" fillId="0" borderId="0" xfId="20" applyFont="1" applyFill="1"/>
    <xf numFmtId="0" fontId="30" fillId="0" borderId="0" xfId="20" applyFont="1" applyFill="1" applyAlignment="1">
      <alignment horizontal="center"/>
    </xf>
    <xf numFmtId="0" fontId="31" fillId="0" borderId="1" xfId="20" applyFont="1" applyFill="1" applyBorder="1"/>
    <xf numFmtId="0" fontId="32" fillId="0" borderId="1" xfId="20" applyFont="1" applyFill="1" applyBorder="1"/>
    <xf numFmtId="0" fontId="31" fillId="0" borderId="1" xfId="20" applyFont="1" applyFill="1" applyBorder="1" applyAlignment="1">
      <alignment horizontal="center"/>
    </xf>
    <xf numFmtId="0" fontId="31" fillId="0" borderId="31" xfId="20" applyFont="1" applyFill="1" applyBorder="1" applyAlignment="1">
      <alignment horizontal="center"/>
    </xf>
    <xf numFmtId="0" fontId="6" fillId="0" borderId="0" xfId="20" applyFont="1" applyFill="1"/>
    <xf numFmtId="44" fontId="31" fillId="0" borderId="0" xfId="20" applyNumberFormat="1" applyFont="1" applyFill="1" applyAlignment="1">
      <alignment horizontal="center"/>
    </xf>
    <xf numFmtId="44" fontId="31" fillId="0" borderId="30" xfId="20" applyNumberFormat="1" applyFont="1" applyFill="1" applyBorder="1" applyAlignment="1">
      <alignment horizontal="center"/>
    </xf>
    <xf numFmtId="44" fontId="31" fillId="0" borderId="0" xfId="20" applyNumberFormat="1" applyFont="1" applyFill="1"/>
    <xf numFmtId="0" fontId="31" fillId="0" borderId="0" xfId="20" applyFont="1" applyFill="1"/>
    <xf numFmtId="44" fontId="31" fillId="0" borderId="1" xfId="6" applyFont="1" applyFill="1" applyBorder="1"/>
    <xf numFmtId="44" fontId="31" fillId="0" borderId="31" xfId="6" applyFont="1" applyFill="1" applyBorder="1"/>
    <xf numFmtId="44" fontId="31" fillId="0" borderId="0" xfId="6" applyFont="1" applyFill="1"/>
    <xf numFmtId="44" fontId="31" fillId="0" borderId="32" xfId="6" applyFont="1" applyFill="1" applyBorder="1"/>
    <xf numFmtId="44" fontId="31" fillId="0" borderId="33" xfId="6" applyFont="1" applyFill="1" applyBorder="1"/>
    <xf numFmtId="44" fontId="31" fillId="0" borderId="3" xfId="6" applyFont="1" applyFill="1" applyBorder="1"/>
    <xf numFmtId="0" fontId="6" fillId="0" borderId="0" xfId="20" applyFont="1" applyFill="1" applyAlignment="1">
      <alignment horizontal="left"/>
    </xf>
    <xf numFmtId="44" fontId="31" fillId="0" borderId="30" xfId="6" applyFont="1" applyFill="1" applyBorder="1"/>
    <xf numFmtId="0" fontId="31" fillId="0" borderId="15" xfId="20" applyFont="1" applyFill="1" applyBorder="1"/>
    <xf numFmtId="0" fontId="29" fillId="0" borderId="15" xfId="20" applyFont="1" applyFill="1" applyBorder="1"/>
    <xf numFmtId="44" fontId="32" fillId="0" borderId="15" xfId="20" applyNumberFormat="1" applyFont="1" applyFill="1" applyBorder="1"/>
    <xf numFmtId="44" fontId="32" fillId="0" borderId="34" xfId="20" applyNumberFormat="1" applyFont="1" applyFill="1" applyBorder="1"/>
    <xf numFmtId="0" fontId="31" fillId="0" borderId="30" xfId="20" applyFont="1" applyFill="1" applyBorder="1"/>
    <xf numFmtId="0" fontId="31" fillId="0" borderId="3" xfId="20" applyFont="1" applyFill="1" applyBorder="1"/>
    <xf numFmtId="44" fontId="31" fillId="0" borderId="3" xfId="20" applyNumberFormat="1" applyFont="1" applyFill="1" applyBorder="1" applyAlignment="1">
      <alignment horizontal="left"/>
    </xf>
    <xf numFmtId="44" fontId="33" fillId="0" borderId="30" xfId="20" applyNumberFormat="1" applyFont="1" applyFill="1" applyBorder="1" applyAlignment="1">
      <alignment horizontal="center"/>
    </xf>
    <xf numFmtId="0" fontId="33" fillId="0" borderId="0" xfId="20" applyFont="1" applyFill="1" applyAlignment="1">
      <alignment horizontal="center"/>
    </xf>
    <xf numFmtId="49" fontId="30" fillId="0" borderId="0" xfId="20" applyNumberFormat="1" applyFont="1" applyFill="1" applyAlignment="1">
      <alignment horizontal="center"/>
    </xf>
    <xf numFmtId="49" fontId="30" fillId="0" borderId="30" xfId="20" applyNumberFormat="1" applyFont="1" applyFill="1" applyBorder="1" applyAlignment="1">
      <alignment horizontal="center"/>
    </xf>
    <xf numFmtId="44" fontId="31" fillId="0" borderId="30" xfId="20" applyNumberFormat="1" applyFont="1" applyFill="1" applyBorder="1"/>
    <xf numFmtId="44" fontId="31" fillId="0" borderId="0" xfId="20" applyNumberFormat="1" applyFont="1" applyFill="1" applyAlignment="1">
      <alignment horizontal="right"/>
    </xf>
    <xf numFmtId="0" fontId="31" fillId="0" borderId="0" xfId="20" applyFont="1" applyFill="1" applyAlignment="1">
      <alignment horizontal="right"/>
    </xf>
    <xf numFmtId="44" fontId="6" fillId="0" borderId="0" xfId="20" applyNumberFormat="1" applyFont="1" applyFill="1"/>
    <xf numFmtId="0" fontId="28" fillId="0" borderId="0" xfId="20" applyFill="1" applyAlignment="1">
      <alignment horizontal="center"/>
    </xf>
    <xf numFmtId="44" fontId="28" fillId="0" borderId="0" xfId="20" applyNumberFormat="1" applyFill="1"/>
    <xf numFmtId="167" fontId="6" fillId="0" borderId="0" xfId="4" applyNumberFormat="1" applyFont="1" applyFill="1" applyAlignment="1">
      <alignment horizontal="right"/>
    </xf>
    <xf numFmtId="0" fontId="31" fillId="0" borderId="35" xfId="20" applyFont="1" applyFill="1" applyBorder="1" applyAlignment="1">
      <alignment horizontal="center"/>
    </xf>
    <xf numFmtId="39" fontId="18" fillId="0" borderId="5" xfId="0" applyFont="1" applyBorder="1" applyAlignment="1">
      <alignment horizontal="left"/>
    </xf>
    <xf numFmtId="39" fontId="18" fillId="0" borderId="2" xfId="0" applyFont="1" applyBorder="1" applyAlignment="1">
      <alignment horizontal="left"/>
    </xf>
    <xf numFmtId="39" fontId="18" fillId="0" borderId="6" xfId="0" applyFont="1" applyBorder="1" applyAlignment="1">
      <alignment horizontal="left"/>
    </xf>
    <xf numFmtId="39" fontId="18" fillId="0" borderId="7" xfId="0" applyFont="1" applyBorder="1" applyAlignment="1">
      <alignment horizontal="left"/>
    </xf>
    <xf numFmtId="39" fontId="18" fillId="0" borderId="0" xfId="0" applyFont="1" applyBorder="1" applyAlignment="1">
      <alignment horizontal="left"/>
    </xf>
    <xf numFmtId="39" fontId="18" fillId="0" borderId="8" xfId="0" applyFont="1" applyBorder="1" applyAlignment="1">
      <alignment horizontal="left"/>
    </xf>
    <xf numFmtId="39" fontId="11" fillId="0" borderId="0" xfId="0" applyFont="1" applyBorder="1" applyAlignment="1">
      <alignment horizontal="left"/>
    </xf>
    <xf numFmtId="39" fontId="11" fillId="0" borderId="8" xfId="0" applyFont="1" applyBorder="1" applyAlignment="1">
      <alignment horizontal="left"/>
    </xf>
    <xf numFmtId="39" fontId="8" fillId="0" borderId="7" xfId="7" applyNumberFormat="1" applyBorder="1" applyAlignment="1" applyProtection="1">
      <alignment horizontal="left"/>
    </xf>
    <xf numFmtId="39" fontId="19" fillId="0" borderId="0" xfId="7" applyNumberFormat="1" applyFont="1" applyBorder="1" applyAlignment="1" applyProtection="1">
      <alignment horizontal="left"/>
    </xf>
    <xf numFmtId="39" fontId="19" fillId="0" borderId="8" xfId="7" applyNumberFormat="1" applyFont="1" applyBorder="1" applyAlignment="1" applyProtection="1">
      <alignment horizontal="left"/>
    </xf>
    <xf numFmtId="39" fontId="12" fillId="0" borderId="9" xfId="0" applyFont="1" applyBorder="1" applyAlignment="1">
      <alignment horizontal="center" wrapText="1"/>
    </xf>
    <xf numFmtId="39" fontId="12" fillId="0" borderId="10" xfId="0" applyFont="1" applyBorder="1" applyAlignment="1">
      <alignment horizontal="center" wrapText="1"/>
    </xf>
    <xf numFmtId="44" fontId="31" fillId="0" borderId="0" xfId="20" applyNumberFormat="1" applyFont="1" applyFill="1" applyBorder="1" applyAlignment="1">
      <alignment horizontal="center"/>
    </xf>
    <xf numFmtId="44" fontId="31" fillId="0" borderId="1" xfId="20" applyNumberFormat="1" applyFont="1" applyFill="1" applyBorder="1" applyAlignment="1">
      <alignment horizontal="center"/>
    </xf>
    <xf numFmtId="0" fontId="30" fillId="0" borderId="36" xfId="20" applyFont="1" applyFill="1" applyBorder="1" applyAlignment="1">
      <alignment horizontal="center"/>
    </xf>
    <xf numFmtId="44" fontId="31" fillId="0" borderId="37" xfId="6" applyFont="1" applyFill="1" applyBorder="1"/>
    <xf numFmtId="0" fontId="31" fillId="0" borderId="30" xfId="6" applyNumberFormat="1" applyFont="1" applyFill="1" applyBorder="1" applyAlignment="1">
      <alignment horizontal="left"/>
    </xf>
    <xf numFmtId="170" fontId="44" fillId="13" borderId="0" xfId="6" applyNumberFormat="1" applyFont="1" applyFill="1"/>
    <xf numFmtId="39" fontId="11" fillId="0" borderId="0" xfId="0" applyFont="1" applyFill="1" applyAlignment="1">
      <alignment horizontal="right"/>
    </xf>
    <xf numFmtId="39" fontId="11" fillId="0" borderId="21" xfId="0" applyFont="1" applyBorder="1" applyAlignment="1">
      <alignment horizontal="left" vertical="top" wrapText="1"/>
    </xf>
    <xf numFmtId="39" fontId="11" fillId="0" borderId="22" xfId="0" applyFont="1" applyBorder="1" applyAlignment="1">
      <alignment horizontal="left" vertical="top" wrapText="1"/>
    </xf>
    <xf numFmtId="17" fontId="11" fillId="0" borderId="0" xfId="0" applyNumberFormat="1" applyFont="1" applyAlignment="1">
      <alignment horizontal="right"/>
    </xf>
    <xf numFmtId="39" fontId="11" fillId="0" borderId="0" xfId="0" applyFont="1" applyAlignment="1">
      <alignment horizontal="right"/>
    </xf>
    <xf numFmtId="39" fontId="22" fillId="0" borderId="0" xfId="0" applyFont="1" applyAlignment="1">
      <alignment horizontal="center"/>
    </xf>
    <xf numFmtId="39" fontId="11" fillId="0" borderId="20" xfId="0" applyFont="1" applyBorder="1" applyAlignment="1">
      <alignment horizontal="left" vertical="top"/>
    </xf>
    <xf numFmtId="39" fontId="11" fillId="0" borderId="21" xfId="0" applyFont="1" applyBorder="1" applyAlignment="1">
      <alignment horizontal="left" vertical="top"/>
    </xf>
    <xf numFmtId="39" fontId="11" fillId="0" borderId="7" xfId="0" applyFont="1" applyBorder="1" applyAlignment="1">
      <alignment horizontal="left"/>
    </xf>
    <xf numFmtId="39" fontId="11" fillId="0" borderId="0" xfId="0" applyFont="1" applyAlignment="1">
      <alignment horizontal="left"/>
    </xf>
    <xf numFmtId="39" fontId="11" fillId="0" borderId="0" xfId="0" applyFont="1" applyAlignment="1" applyProtection="1">
      <alignment horizontal="left"/>
      <protection locked="0"/>
    </xf>
    <xf numFmtId="39" fontId="11" fillId="0" borderId="8" xfId="0" applyFont="1" applyBorder="1" applyAlignment="1" applyProtection="1">
      <alignment horizontal="left"/>
      <protection locked="0"/>
    </xf>
    <xf numFmtId="39" fontId="11" fillId="0" borderId="2" xfId="0" applyFont="1" applyBorder="1" applyAlignment="1" applyProtection="1">
      <alignment horizontal="left"/>
      <protection locked="0"/>
    </xf>
    <xf numFmtId="39" fontId="11" fillId="0" borderId="6" xfId="0" applyFont="1" applyBorder="1" applyAlignment="1" applyProtection="1">
      <alignment horizontal="left"/>
      <protection locked="0"/>
    </xf>
    <xf numFmtId="39" fontId="11" fillId="0" borderId="3" xfId="0" applyFont="1" applyBorder="1" applyAlignment="1" applyProtection="1">
      <alignment horizontal="left"/>
      <protection locked="0"/>
    </xf>
    <xf numFmtId="39" fontId="11" fillId="0" borderId="5" xfId="0" applyFont="1" applyBorder="1" applyAlignment="1">
      <alignment horizontal="left"/>
    </xf>
    <xf numFmtId="39" fontId="11" fillId="0" borderId="2" xfId="0" applyFont="1" applyBorder="1" applyAlignment="1">
      <alignment horizontal="left"/>
    </xf>
    <xf numFmtId="39" fontId="11" fillId="0" borderId="19" xfId="0" applyFont="1" applyBorder="1" applyAlignment="1">
      <alignment horizontal="left"/>
    </xf>
    <xf numFmtId="39" fontId="11" fillId="0" borderId="23" xfId="0" applyFont="1" applyBorder="1" applyAlignment="1">
      <alignment horizontal="left" vertical="top"/>
    </xf>
    <xf numFmtId="39" fontId="11" fillId="0" borderId="24" xfId="0" applyFont="1" applyBorder="1" applyAlignment="1">
      <alignment horizontal="left" vertical="top"/>
    </xf>
    <xf numFmtId="39" fontId="11" fillId="0" borderId="24" xfId="0" applyFont="1" applyBorder="1" applyAlignment="1">
      <alignment horizontal="left" vertical="top" wrapText="1"/>
    </xf>
    <xf numFmtId="39" fontId="11" fillId="0" borderId="25" xfId="0" applyFont="1" applyBorder="1" applyAlignment="1">
      <alignment horizontal="left" vertical="top" wrapText="1"/>
    </xf>
    <xf numFmtId="39" fontId="11" fillId="0" borderId="4" xfId="0" applyFont="1" applyBorder="1" applyAlignment="1" applyProtection="1">
      <alignment horizontal="left"/>
      <protection locked="0"/>
    </xf>
    <xf numFmtId="39" fontId="11" fillId="0" borderId="18" xfId="0" applyFont="1" applyBorder="1" applyAlignment="1" applyProtection="1">
      <alignment horizontal="left"/>
      <protection locked="0"/>
    </xf>
    <xf numFmtId="39" fontId="11" fillId="0" borderId="17" xfId="0" applyFont="1" applyBorder="1" applyAlignment="1">
      <alignment horizontal="left"/>
    </xf>
    <xf numFmtId="39" fontId="11" fillId="0" borderId="4" xfId="0" applyFont="1" applyBorder="1" applyAlignment="1">
      <alignment horizontal="left"/>
    </xf>
    <xf numFmtId="39" fontId="11" fillId="0" borderId="0" xfId="0" applyFont="1" applyProtection="1">
      <protection locked="0"/>
    </xf>
    <xf numFmtId="39" fontId="11" fillId="0" borderId="3" xfId="0" applyFont="1" applyBorder="1" applyProtection="1">
      <protection locked="0"/>
    </xf>
    <xf numFmtId="165" fontId="11" fillId="0" borderId="0" xfId="0" applyNumberFormat="1" applyFont="1" applyAlignment="1">
      <alignment horizontal="center" vertical="center" wrapText="1"/>
    </xf>
    <xf numFmtId="39" fontId="11" fillId="0" borderId="4" xfId="17" applyNumberFormat="1" applyFont="1" applyBorder="1" applyAlignment="1" applyProtection="1">
      <alignment horizontal="left"/>
      <protection locked="0"/>
    </xf>
    <xf numFmtId="39" fontId="11" fillId="0" borderId="18" xfId="17" applyNumberFormat="1" applyFont="1" applyBorder="1" applyAlignment="1" applyProtection="1">
      <alignment horizontal="left"/>
      <protection locked="0"/>
    </xf>
    <xf numFmtId="39" fontId="11" fillId="0" borderId="0" xfId="17" applyNumberFormat="1" applyFont="1" applyAlignment="1" applyProtection="1">
      <alignment horizontal="left"/>
      <protection locked="0"/>
    </xf>
    <xf numFmtId="39" fontId="11" fillId="0" borderId="3" xfId="17" applyNumberFormat="1" applyFont="1" applyBorder="1" applyAlignment="1" applyProtection="1">
      <alignment horizontal="left"/>
      <protection locked="0"/>
    </xf>
    <xf numFmtId="39" fontId="11" fillId="0" borderId="0" xfId="17" applyNumberFormat="1" applyFont="1" applyAlignment="1">
      <alignment horizontal="right"/>
    </xf>
    <xf numFmtId="39" fontId="11" fillId="0" borderId="24" xfId="17" applyNumberFormat="1" applyFont="1" applyBorder="1" applyAlignment="1">
      <alignment horizontal="left" vertical="top" wrapText="1"/>
    </xf>
    <xf numFmtId="39" fontId="11" fillId="0" borderId="25" xfId="17" applyNumberFormat="1" applyFont="1" applyBorder="1" applyAlignment="1">
      <alignment horizontal="left" vertical="top" wrapText="1"/>
    </xf>
    <xf numFmtId="0" fontId="28" fillId="0" borderId="1" xfId="20" applyFill="1" applyBorder="1" applyAlignment="1">
      <alignment horizontal="center"/>
    </xf>
    <xf numFmtId="39" fontId="11" fillId="0" borderId="0" xfId="0" quotePrefix="1" applyFont="1" applyAlignment="1" applyProtection="1">
      <alignment horizontal="left"/>
      <protection locked="0"/>
    </xf>
    <xf numFmtId="39" fontId="11" fillId="0" borderId="4" xfId="0" applyFont="1" applyBorder="1" applyProtection="1">
      <protection locked="0"/>
    </xf>
    <xf numFmtId="39" fontId="11" fillId="0" borderId="18" xfId="0" applyFont="1" applyBorder="1" applyProtection="1">
      <protection locked="0"/>
    </xf>
    <xf numFmtId="39" fontId="11" fillId="0" borderId="23" xfId="0" applyFont="1" applyBorder="1" applyAlignment="1">
      <alignment horizontal="left"/>
    </xf>
    <xf numFmtId="39" fontId="11" fillId="0" borderId="24" xfId="0" applyFont="1" applyBorder="1" applyAlignment="1">
      <alignment horizontal="left"/>
    </xf>
    <xf numFmtId="39" fontId="11" fillId="0" borderId="24" xfId="0" applyFont="1" applyBorder="1" applyAlignment="1">
      <alignment horizontal="left" wrapText="1"/>
    </xf>
    <xf numFmtId="39" fontId="11" fillId="0" borderId="25" xfId="0" applyFont="1" applyBorder="1" applyAlignment="1">
      <alignment horizontal="left" wrapText="1"/>
    </xf>
    <xf numFmtId="39" fontId="11" fillId="0" borderId="0" xfId="9" applyNumberFormat="1" applyFont="1" applyAlignment="1">
      <alignment horizontal="right"/>
    </xf>
    <xf numFmtId="39" fontId="11" fillId="0" borderId="24" xfId="9" applyNumberFormat="1" applyFont="1" applyBorder="1" applyAlignment="1">
      <alignment horizontal="left" vertical="top" wrapText="1"/>
    </xf>
    <xf numFmtId="39" fontId="11" fillId="0" borderId="25" xfId="9" applyNumberFormat="1" applyFont="1" applyBorder="1" applyAlignment="1">
      <alignment horizontal="left" vertical="top" wrapText="1"/>
    </xf>
    <xf numFmtId="39" fontId="11" fillId="0" borderId="1" xfId="0" applyFont="1" applyBorder="1" applyAlignment="1">
      <alignment horizontal="center"/>
    </xf>
    <xf numFmtId="39" fontId="11" fillId="0" borderId="4" xfId="9" applyNumberFormat="1" applyFont="1" applyBorder="1" applyAlignment="1" applyProtection="1">
      <alignment horizontal="left"/>
      <protection locked="0"/>
    </xf>
    <xf numFmtId="39" fontId="11" fillId="0" borderId="18" xfId="9" applyNumberFormat="1" applyFont="1" applyBorder="1" applyAlignment="1" applyProtection="1">
      <alignment horizontal="left"/>
      <protection locked="0"/>
    </xf>
    <xf numFmtId="39" fontId="11" fillId="0" borderId="0" xfId="9" applyNumberFormat="1" applyFont="1" applyAlignment="1" applyProtection="1">
      <alignment horizontal="left"/>
      <protection locked="0"/>
    </xf>
    <xf numFmtId="39" fontId="11" fillId="0" borderId="3" xfId="9" applyNumberFormat="1" applyFont="1" applyBorder="1" applyAlignment="1" applyProtection="1">
      <alignment horizontal="left"/>
      <protection locked="0"/>
    </xf>
    <xf numFmtId="39" fontId="11" fillId="0" borderId="24" xfId="18" applyNumberFormat="1" applyFont="1" applyBorder="1" applyAlignment="1">
      <alignment horizontal="left" vertical="top" wrapText="1"/>
    </xf>
    <xf numFmtId="39" fontId="11" fillId="0" borderId="25" xfId="18" applyNumberFormat="1" applyFont="1" applyBorder="1" applyAlignment="1">
      <alignment horizontal="left" vertical="top" wrapText="1"/>
    </xf>
    <xf numFmtId="39" fontId="11" fillId="0" borderId="0" xfId="18" applyNumberFormat="1" applyFont="1" applyAlignment="1">
      <alignment horizontal="right"/>
    </xf>
    <xf numFmtId="39" fontId="11" fillId="0" borderId="4" xfId="18" applyNumberFormat="1" applyFont="1" applyBorder="1" applyAlignment="1" applyProtection="1">
      <alignment horizontal="left"/>
      <protection locked="0"/>
    </xf>
    <xf numFmtId="39" fontId="11" fillId="0" borderId="18" xfId="18" applyNumberFormat="1" applyFont="1" applyBorder="1" applyAlignment="1" applyProtection="1">
      <alignment horizontal="left"/>
      <protection locked="0"/>
    </xf>
    <xf numFmtId="39" fontId="11" fillId="0" borderId="0" xfId="18" applyNumberFormat="1" applyFont="1" applyAlignment="1" applyProtection="1">
      <alignment horizontal="left"/>
      <protection locked="0"/>
    </xf>
    <xf numFmtId="39" fontId="11" fillId="0" borderId="3" xfId="18" applyNumberFormat="1" applyFont="1" applyBorder="1" applyAlignment="1" applyProtection="1">
      <alignment horizontal="left"/>
      <protection locked="0"/>
    </xf>
    <xf numFmtId="39" fontId="11" fillId="0" borderId="0" xfId="18" applyNumberFormat="1" applyFont="1" applyFill="1" applyAlignment="1" applyProtection="1">
      <alignment horizontal="left"/>
      <protection locked="0"/>
    </xf>
    <xf numFmtId="39" fontId="11" fillId="0" borderId="3" xfId="18" applyNumberFormat="1" applyFont="1" applyFill="1" applyBorder="1" applyAlignment="1" applyProtection="1">
      <alignment horizontal="left"/>
      <protection locked="0"/>
    </xf>
    <xf numFmtId="39" fontId="11" fillId="0" borderId="24" xfId="18" applyNumberFormat="1" applyFont="1" applyFill="1" applyBorder="1" applyAlignment="1">
      <alignment horizontal="left" vertical="top" wrapText="1"/>
    </xf>
    <xf numFmtId="39" fontId="11" fillId="0" borderId="25" xfId="18" applyNumberFormat="1" applyFont="1" applyFill="1" applyBorder="1" applyAlignment="1">
      <alignment horizontal="left" vertical="top" wrapText="1"/>
    </xf>
    <xf numFmtId="39" fontId="22" fillId="0" borderId="0" xfId="0" applyFont="1" applyFill="1" applyAlignment="1">
      <alignment horizontal="center"/>
    </xf>
    <xf numFmtId="39" fontId="11" fillId="0" borderId="4" xfId="18" applyNumberFormat="1" applyFont="1" applyFill="1" applyBorder="1" applyAlignment="1" applyProtection="1">
      <alignment horizontal="left"/>
      <protection locked="0"/>
    </xf>
    <xf numFmtId="39" fontId="11" fillId="0" borderId="18" xfId="18" applyNumberFormat="1" applyFont="1" applyFill="1" applyBorder="1" applyAlignment="1" applyProtection="1">
      <alignment horizontal="left"/>
      <protection locked="0"/>
    </xf>
    <xf numFmtId="39" fontId="11" fillId="0" borderId="12" xfId="0" applyFont="1" applyBorder="1" applyAlignment="1">
      <alignment horizontal="center" vertical="center" textRotation="90"/>
    </xf>
    <xf numFmtId="39" fontId="11" fillId="0" borderId="13" xfId="0" applyFont="1" applyBorder="1" applyAlignment="1">
      <alignment horizontal="center" vertical="center" textRotation="90"/>
    </xf>
    <xf numFmtId="39" fontId="11" fillId="0" borderId="14" xfId="0" applyFont="1" applyBorder="1" applyAlignment="1">
      <alignment horizontal="center" vertical="center" textRotation="90"/>
    </xf>
    <xf numFmtId="39" fontId="12" fillId="0" borderId="16" xfId="0" applyFont="1" applyBorder="1" applyAlignment="1">
      <alignment horizontal="center" wrapText="1"/>
    </xf>
    <xf numFmtId="39" fontId="12" fillId="0" borderId="15" xfId="0" applyFont="1" applyBorder="1" applyAlignment="1">
      <alignment horizontal="center" wrapText="1"/>
    </xf>
    <xf numFmtId="39" fontId="18" fillId="0" borderId="17" xfId="0" applyFont="1" applyBorder="1" applyAlignment="1">
      <alignment horizontal="center"/>
    </xf>
    <xf numFmtId="39" fontId="18" fillId="0" borderId="4" xfId="0" applyFont="1" applyBorder="1" applyAlignment="1">
      <alignment horizontal="center"/>
    </xf>
    <xf numFmtId="39" fontId="18" fillId="0" borderId="18" xfId="0" applyFont="1" applyBorder="1" applyAlignment="1">
      <alignment horizontal="center"/>
    </xf>
    <xf numFmtId="39" fontId="18" fillId="0" borderId="26" xfId="0" applyFont="1" applyBorder="1" applyAlignment="1">
      <alignment horizontal="center"/>
    </xf>
    <xf numFmtId="39" fontId="18" fillId="0" borderId="1" xfId="0" applyFont="1" applyBorder="1" applyAlignment="1">
      <alignment horizontal="center"/>
    </xf>
    <xf numFmtId="39" fontId="18" fillId="0" borderId="27" xfId="0" applyFont="1" applyBorder="1" applyAlignment="1">
      <alignment horizontal="center"/>
    </xf>
    <xf numFmtId="39" fontId="14" fillId="0" borderId="0" xfId="0" applyFont="1" applyBorder="1" applyAlignment="1">
      <alignment horizontal="center" wrapText="1"/>
    </xf>
    <xf numFmtId="39" fontId="12" fillId="0" borderId="13" xfId="0" applyFont="1" applyBorder="1" applyAlignment="1">
      <alignment horizontal="center" wrapText="1"/>
    </xf>
    <xf numFmtId="39" fontId="12" fillId="0" borderId="14" xfId="0" applyFont="1" applyBorder="1" applyAlignment="1">
      <alignment horizontal="center" wrapText="1"/>
    </xf>
    <xf numFmtId="37" fontId="12" fillId="0" borderId="9" xfId="0" applyNumberFormat="1" applyFont="1" applyBorder="1" applyAlignment="1">
      <alignment horizontal="center"/>
    </xf>
    <xf numFmtId="37" fontId="12" fillId="0" borderId="1" xfId="0" applyNumberFormat="1" applyFont="1" applyBorder="1" applyAlignment="1">
      <alignment horizontal="center"/>
    </xf>
    <xf numFmtId="37" fontId="12" fillId="0" borderId="16" xfId="0" applyNumberFormat="1" applyFont="1" applyBorder="1" applyAlignment="1">
      <alignment horizontal="center"/>
    </xf>
    <xf numFmtId="37" fontId="12" fillId="0" borderId="15" xfId="0" applyNumberFormat="1" applyFont="1" applyBorder="1" applyAlignment="1">
      <alignment horizontal="center"/>
    </xf>
    <xf numFmtId="37" fontId="12" fillId="0" borderId="28" xfId="0" applyNumberFormat="1" applyFont="1" applyBorder="1" applyAlignment="1">
      <alignment horizontal="center"/>
    </xf>
    <xf numFmtId="39" fontId="21" fillId="0" borderId="7" xfId="0" applyFont="1" applyBorder="1" applyAlignment="1">
      <alignment horizontal="center" wrapText="1"/>
    </xf>
    <xf numFmtId="39" fontId="21" fillId="0" borderId="9" xfId="0" applyFont="1" applyBorder="1" applyAlignment="1">
      <alignment horizontal="center" wrapText="1"/>
    </xf>
    <xf numFmtId="39" fontId="21" fillId="0" borderId="8" xfId="0" applyFont="1" applyBorder="1" applyAlignment="1">
      <alignment horizontal="center" wrapText="1"/>
    </xf>
    <xf numFmtId="39" fontId="21" fillId="0" borderId="10" xfId="0" applyFont="1" applyBorder="1" applyAlignment="1">
      <alignment horizontal="center" wrapText="1"/>
    </xf>
    <xf numFmtId="39" fontId="12" fillId="0" borderId="16" xfId="0" applyFont="1" applyBorder="1" applyAlignment="1">
      <alignment horizontal="center"/>
    </xf>
    <xf numFmtId="39" fontId="12" fillId="0" borderId="15" xfId="0" applyFont="1" applyBorder="1" applyAlignment="1">
      <alignment horizontal="center"/>
    </xf>
    <xf numFmtId="39" fontId="12" fillId="0" borderId="28" xfId="0" applyFont="1" applyBorder="1" applyAlignment="1">
      <alignment horizontal="center"/>
    </xf>
    <xf numFmtId="39" fontId="21" fillId="0" borderId="0" xfId="0" applyFont="1" applyBorder="1" applyAlignment="1">
      <alignment horizontal="center" wrapText="1"/>
    </xf>
    <xf numFmtId="39" fontId="24" fillId="0" borderId="0" xfId="0" applyFont="1" applyAlignment="1">
      <alignment horizontal="center"/>
    </xf>
    <xf numFmtId="49" fontId="35" fillId="0" borderId="0" xfId="20" applyNumberFormat="1" applyFont="1" applyAlignment="1">
      <alignment horizontal="center" vertical="center"/>
    </xf>
    <xf numFmtId="49" fontId="35" fillId="0" borderId="0" xfId="20" applyNumberFormat="1" applyFont="1" applyAlignment="1">
      <alignment horizontal="center" vertical="center" wrapText="1"/>
    </xf>
    <xf numFmtId="167" fontId="37" fillId="0" borderId="0" xfId="4" applyNumberFormat="1" applyFont="1" applyAlignment="1">
      <alignment horizontal="left"/>
    </xf>
    <xf numFmtId="49" fontId="31" fillId="0" borderId="0" xfId="20" applyNumberFormat="1" applyFont="1"/>
    <xf numFmtId="169" fontId="35" fillId="0" borderId="0" xfId="20" applyNumberFormat="1" applyFont="1" applyAlignment="1">
      <alignment horizontal="center" vertical="center" wrapText="1"/>
    </xf>
    <xf numFmtId="49" fontId="38" fillId="0" borderId="0" xfId="20" applyNumberFormat="1" applyFont="1" applyAlignment="1">
      <alignment horizontal="left"/>
    </xf>
    <xf numFmtId="167" fontId="39" fillId="0" borderId="0" xfId="4" applyNumberFormat="1" applyFont="1" applyAlignment="1">
      <alignment horizontal="left"/>
    </xf>
    <xf numFmtId="49" fontId="56" fillId="20" borderId="1" xfId="4" applyNumberFormat="1" applyFont="1" applyFill="1" applyBorder="1" applyAlignment="1">
      <alignment horizontal="left"/>
    </xf>
    <xf numFmtId="167" fontId="55" fillId="0" borderId="0" xfId="4" applyNumberFormat="1" applyFont="1" applyAlignment="1">
      <alignment horizontal="center"/>
    </xf>
    <xf numFmtId="167" fontId="5" fillId="0" borderId="0" xfId="4" applyNumberFormat="1" applyFont="1" applyBorder="1" applyAlignment="1">
      <alignment horizontal="center"/>
    </xf>
    <xf numFmtId="167" fontId="31" fillId="0" borderId="1" xfId="4" applyNumberFormat="1" applyFont="1" applyBorder="1" applyAlignment="1">
      <alignment horizontal="center" vertical="center"/>
    </xf>
    <xf numFmtId="167" fontId="32" fillId="0" borderId="1" xfId="4" applyNumberFormat="1" applyFont="1" applyBorder="1" applyAlignment="1">
      <alignment horizontal="center" vertical="center"/>
    </xf>
    <xf numFmtId="169" fontId="42" fillId="0" borderId="0" xfId="4" applyNumberFormat="1" applyFont="1" applyBorder="1" applyAlignment="1">
      <alignment horizontal="center"/>
    </xf>
    <xf numFmtId="169" fontId="54" fillId="0" borderId="0" xfId="4" applyNumberFormat="1" applyFont="1" applyBorder="1" applyAlignment="1">
      <alignment horizontal="left"/>
    </xf>
    <xf numFmtId="167" fontId="5" fillId="0" borderId="0" xfId="4" applyNumberFormat="1" applyFont="1" applyAlignment="1">
      <alignment horizontal="center"/>
    </xf>
    <xf numFmtId="167" fontId="43" fillId="0" borderId="0" xfId="4" applyNumberFormat="1" applyFont="1" applyBorder="1" applyAlignment="1">
      <alignment horizontal="center"/>
    </xf>
    <xf numFmtId="167" fontId="42" fillId="0" borderId="0" xfId="4" applyNumberFormat="1" applyFont="1" applyBorder="1" applyAlignment="1">
      <alignment horizontal="center"/>
    </xf>
    <xf numFmtId="0" fontId="31" fillId="0" borderId="26" xfId="20" applyFont="1" applyFill="1" applyBorder="1" applyAlignment="1">
      <alignment horizontal="center"/>
    </xf>
  </cellXfs>
  <cellStyles count="21">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5" xfId="18" xr:uid="{00000000-0005-0000-0000-00000E000000}"/>
    <cellStyle name="Normal 3" xfId="11" xr:uid="{00000000-0005-0000-0000-00000F000000}"/>
    <cellStyle name="Normal 4" xfId="19" xr:uid="{00000000-0005-0000-0000-000010000000}"/>
    <cellStyle name="Normal 5" xfId="20" xr:uid="{9AE9A41B-E47A-4DB7-9D0F-07597BE3D1C2}"/>
    <cellStyle name="Normal_2002" xfId="12" xr:uid="{00000000-0005-0000-0000-000011000000}"/>
    <cellStyle name="Percent" xfId="13" builtinId="5"/>
    <cellStyle name="Percent 2" xfId="14" xr:uid="{00000000-0005-0000-0000-000015000000}"/>
  </cellStyles>
  <dxfs count="0"/>
  <tableStyles count="1" defaultTableStyle="TableStyleMedium9" defaultPivotStyle="PivotStyleLight16">
    <tableStyle name="Invisible" pivot="0" table="0" count="0" xr9:uid="{8C456D10-64D3-4331-938B-6FDB65134208}"/>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101</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100</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100</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101</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102</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381000</xdr:colOff>
      <xdr:row>104</xdr:row>
      <xdr:rowOff>9526</xdr:rowOff>
    </xdr:from>
    <xdr:to>
      <xdr:col>10</xdr:col>
      <xdr:colOff>199287</xdr:colOff>
      <xdr:row>113</xdr:row>
      <xdr:rowOff>114301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248275" y="17078326"/>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102</xdr:row>
      <xdr:rowOff>158136</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104</xdr:row>
      <xdr:rowOff>104775</xdr:rowOff>
    </xdr:from>
    <xdr:to>
      <xdr:col>16</xdr:col>
      <xdr:colOff>542925</xdr:colOff>
      <xdr:row>114</xdr:row>
      <xdr:rowOff>57150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7173575"/>
          <a:ext cx="5734050" cy="1571625"/>
        </a:xfrm>
        <a:prstGeom prst="rect">
          <a:avLst/>
        </a:prstGeom>
      </xdr:spPr>
    </xdr:pic>
    <xdr:clientData/>
  </xdr:twoCellAnchor>
  <xdr:twoCellAnchor editAs="oneCell">
    <xdr:from>
      <xdr:col>5</xdr:col>
      <xdr:colOff>409576</xdr:colOff>
      <xdr:row>114</xdr:row>
      <xdr:rowOff>114301</xdr:rowOff>
    </xdr:from>
    <xdr:to>
      <xdr:col>10</xdr:col>
      <xdr:colOff>495301</xdr:colOff>
      <xdr:row>123</xdr:row>
      <xdr:rowOff>85726</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802351"/>
          <a:ext cx="5562600" cy="1428750"/>
        </a:xfrm>
        <a:prstGeom prst="rect">
          <a:avLst/>
        </a:prstGeom>
      </xdr:spPr>
    </xdr:pic>
    <xdr:clientData/>
  </xdr:twoCellAnchor>
  <xdr:twoCellAnchor editAs="oneCell">
    <xdr:from>
      <xdr:col>11</xdr:col>
      <xdr:colOff>0</xdr:colOff>
      <xdr:row>115</xdr:row>
      <xdr:rowOff>0</xdr:rowOff>
    </xdr:from>
    <xdr:to>
      <xdr:col>16</xdr:col>
      <xdr:colOff>457200</xdr:colOff>
      <xdr:row>123</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439525" y="18849975"/>
          <a:ext cx="5934075" cy="1343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rian.hoyle\Documents\Gas%20Supply%20Analysis\5-2022%20Gas%20Supply%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Accrual"/>
      <sheetName val="C Actual"/>
      <sheetName val="NWP JE"/>
      <sheetName val="Demand JE"/>
      <sheetName val="GTN JE"/>
      <sheetName val="Tenaska JE"/>
      <sheetName val="Demand backup"/>
      <sheetName val="Invoices"/>
      <sheetName val="JE Summary"/>
      <sheetName val="Imbalance"/>
      <sheetName val="Gas Storage"/>
    </sheetNames>
    <sheetDataSet>
      <sheetData sheetId="0"/>
      <sheetData sheetId="1"/>
      <sheetData sheetId="2"/>
      <sheetData sheetId="3"/>
      <sheetData sheetId="4"/>
      <sheetData sheetId="5"/>
      <sheetData sheetId="6"/>
      <sheetData sheetId="7">
        <row r="70">
          <cell r="J70">
            <v>26896.320000000025</v>
          </cell>
        </row>
      </sheetData>
      <sheetData sheetId="8"/>
      <sheetData sheetId="9">
        <row r="46">
          <cell r="R46">
            <v>-453164</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7.bin"/><Relationship Id="rId1" Type="http://schemas.openxmlformats.org/officeDocument/2006/relationships/hyperlink" Target="http://www.ferc.gov/enforcement/acct-matts/interest-rates.asp"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5"/>
  <sheetViews>
    <sheetView view="pageBreakPreview" zoomScale="75" zoomScaleNormal="75" zoomScaleSheetLayoutView="75" workbookViewId="0">
      <pane xSplit="1" ySplit="10" topLeftCell="B11" activePane="bottomRight" state="frozen"/>
      <selection activeCell="H129" sqref="H129"/>
      <selection pane="topRight" activeCell="H129" sqref="H129"/>
      <selection pane="bottomLeft" activeCell="H129" sqref="H129"/>
      <selection pane="bottomRight" activeCell="K108" sqref="K108"/>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9.21875" style="1" bestFit="1" customWidth="1"/>
    <col min="10" max="16384" width="8.88671875" style="1"/>
  </cols>
  <sheetData>
    <row r="1" spans="1:8" x14ac:dyDescent="0.2">
      <c r="A1" s="539" t="s">
        <v>13</v>
      </c>
      <c r="B1" s="540"/>
      <c r="C1" s="536" t="s">
        <v>14</v>
      </c>
      <c r="D1" s="536"/>
      <c r="E1" s="536"/>
      <c r="F1" s="536"/>
      <c r="G1" s="536"/>
      <c r="H1" s="537"/>
    </row>
    <row r="2" spans="1:8" x14ac:dyDescent="0.2">
      <c r="A2" s="532" t="s">
        <v>16</v>
      </c>
      <c r="B2" s="533"/>
      <c r="C2" s="534" t="s">
        <v>40</v>
      </c>
      <c r="D2" s="534"/>
      <c r="E2" s="534"/>
      <c r="F2" s="534"/>
      <c r="G2" s="534"/>
      <c r="H2" s="535"/>
    </row>
    <row r="3" spans="1:8" x14ac:dyDescent="0.2">
      <c r="A3" s="532" t="s">
        <v>17</v>
      </c>
      <c r="B3" s="533"/>
      <c r="C3" s="534" t="s">
        <v>182</v>
      </c>
      <c r="D3" s="534"/>
      <c r="E3" s="534"/>
      <c r="F3" s="534"/>
      <c r="G3" s="534"/>
      <c r="H3" s="535"/>
    </row>
    <row r="4" spans="1:8" x14ac:dyDescent="0.2">
      <c r="A4" s="532" t="s">
        <v>18</v>
      </c>
      <c r="B4" s="533"/>
      <c r="C4" s="534" t="s">
        <v>19</v>
      </c>
      <c r="D4" s="534"/>
      <c r="E4" s="534"/>
      <c r="F4" s="534"/>
      <c r="G4" s="534"/>
      <c r="H4" s="535"/>
    </row>
    <row r="5" spans="1:8" x14ac:dyDescent="0.2">
      <c r="A5" s="532" t="s">
        <v>20</v>
      </c>
      <c r="B5" s="533"/>
      <c r="C5" s="534" t="s">
        <v>180</v>
      </c>
      <c r="D5" s="534"/>
      <c r="E5" s="534"/>
      <c r="F5" s="534"/>
      <c r="G5" s="534"/>
      <c r="H5" s="538"/>
    </row>
    <row r="6" spans="1:8" x14ac:dyDescent="0.2">
      <c r="A6" s="532" t="s">
        <v>21</v>
      </c>
      <c r="B6" s="533"/>
      <c r="C6" s="534" t="s">
        <v>30</v>
      </c>
      <c r="D6" s="534"/>
      <c r="E6" s="534"/>
      <c r="F6" s="534"/>
      <c r="G6" s="534"/>
      <c r="H6" s="535"/>
    </row>
    <row r="7" spans="1:8" ht="29.25" customHeight="1" x14ac:dyDescent="0.2">
      <c r="A7" s="530" t="s">
        <v>22</v>
      </c>
      <c r="B7" s="531"/>
      <c r="C7" s="525" t="s">
        <v>42</v>
      </c>
      <c r="D7" s="525"/>
      <c r="E7" s="525"/>
      <c r="F7" s="525"/>
      <c r="G7" s="525"/>
      <c r="H7" s="526"/>
    </row>
    <row r="8" spans="1:8" x14ac:dyDescent="0.2">
      <c r="B8" s="11"/>
      <c r="G8" s="91" t="s">
        <v>88</v>
      </c>
    </row>
    <row r="9" spans="1:8" x14ac:dyDescent="0.2">
      <c r="A9" s="4"/>
      <c r="D9" s="529" t="s">
        <v>38</v>
      </c>
      <c r="E9" s="529"/>
      <c r="F9" s="529"/>
      <c r="G9" s="90" t="s">
        <v>141</v>
      </c>
    </row>
    <row r="10" spans="1:8" s="5" customFormat="1" ht="39.75" customHeight="1" x14ac:dyDescent="0.2">
      <c r="A10" s="5" t="s">
        <v>39</v>
      </c>
      <c r="B10" s="5" t="s">
        <v>4</v>
      </c>
      <c r="C10" s="5" t="s">
        <v>12</v>
      </c>
      <c r="D10" s="5" t="s">
        <v>23</v>
      </c>
      <c r="E10" s="5" t="s">
        <v>24</v>
      </c>
      <c r="F10" s="5" t="s">
        <v>2</v>
      </c>
      <c r="G10" s="5" t="s">
        <v>0</v>
      </c>
      <c r="H10" s="5" t="s">
        <v>1</v>
      </c>
    </row>
    <row r="11" spans="1:8" hidden="1" x14ac:dyDescent="0.2">
      <c r="A11" s="527" t="s">
        <v>80</v>
      </c>
      <c r="B11" s="527"/>
      <c r="C11" s="527"/>
      <c r="D11" s="527"/>
      <c r="E11" s="527"/>
      <c r="F11" s="527"/>
      <c r="G11" s="527"/>
      <c r="H11" s="1">
        <v>-1120659.83</v>
      </c>
    </row>
    <row r="12" spans="1:8" hidden="1" x14ac:dyDescent="0.2">
      <c r="A12" s="31">
        <f>'FERC Interest Rates'!A20</f>
        <v>41608</v>
      </c>
      <c r="D12" s="1">
        <v>93596.04</v>
      </c>
      <c r="F12" s="1">
        <f>ROUND(H11*VLOOKUP(A12,FERCINT13,2)/365*VLOOKUP(A12,FERCINT13,3),2)</f>
        <v>-2993.54</v>
      </c>
      <c r="H12" s="1">
        <f t="shared" ref="H12:H24" si="0">H11+SUM(D12:G12)</f>
        <v>-1030057.3300000001</v>
      </c>
    </row>
    <row r="13" spans="1:8" hidden="1" x14ac:dyDescent="0.2">
      <c r="A13" s="31">
        <f>'FERC Interest Rates'!A21</f>
        <v>41639</v>
      </c>
      <c r="D13" s="1">
        <v>-302560.25</v>
      </c>
      <c r="F13" s="1">
        <f t="shared" ref="F13" si="1">ROUND(H12*VLOOKUP(A13,FERCINT13,2)/365*VLOOKUP(A13,FERCINT13,3),2)</f>
        <v>-2843.24</v>
      </c>
      <c r="H13" s="1">
        <f t="shared" si="0"/>
        <v>-1335460.82</v>
      </c>
    </row>
    <row r="14" spans="1:8" hidden="1" x14ac:dyDescent="0.2">
      <c r="A14" s="31">
        <f>'FERC Interest Rates'!A22</f>
        <v>41670</v>
      </c>
      <c r="D14" s="1">
        <v>192476.01</v>
      </c>
      <c r="F14" s="1">
        <f t="shared" ref="F14:F23" si="2">ROUND(H13*VLOOKUP(A14,FERCINT14,2)/365*VLOOKUP(A14,FERCINT14,3),2)</f>
        <v>-3686.24</v>
      </c>
      <c r="H14" s="1">
        <f t="shared" si="0"/>
        <v>-1146671.05</v>
      </c>
    </row>
    <row r="15" spans="1:8" hidden="1" x14ac:dyDescent="0.2">
      <c r="A15" s="31">
        <f>'FERC Interest Rates'!A23</f>
        <v>41698</v>
      </c>
      <c r="D15" s="1">
        <v>1883159.68</v>
      </c>
      <c r="F15" s="1">
        <f t="shared" si="2"/>
        <v>-2858.82</v>
      </c>
      <c r="H15" s="1">
        <f t="shared" si="0"/>
        <v>733629.80999999982</v>
      </c>
    </row>
    <row r="16" spans="1:8" hidden="1" x14ac:dyDescent="0.2">
      <c r="A16" s="31">
        <f>'FERC Interest Rates'!A24</f>
        <v>41729</v>
      </c>
      <c r="D16" s="1">
        <v>1966862.04</v>
      </c>
      <c r="F16" s="1">
        <f t="shared" si="2"/>
        <v>2025.02</v>
      </c>
      <c r="H16" s="1">
        <f t="shared" si="0"/>
        <v>2702516.87</v>
      </c>
    </row>
    <row r="17" spans="1:8" hidden="1" x14ac:dyDescent="0.2">
      <c r="A17" s="31">
        <f>'FERC Interest Rates'!A25</f>
        <v>41759</v>
      </c>
      <c r="D17" s="1">
        <f>-274443.54-10556.4</f>
        <v>-284999.94</v>
      </c>
      <c r="F17" s="1">
        <f t="shared" si="2"/>
        <v>7219.05</v>
      </c>
      <c r="H17" s="1">
        <f t="shared" si="0"/>
        <v>2424735.98</v>
      </c>
    </row>
    <row r="18" spans="1:8" hidden="1" x14ac:dyDescent="0.2">
      <c r="A18" s="31">
        <f>'FERC Interest Rates'!A26</f>
        <v>41790</v>
      </c>
      <c r="D18" s="1">
        <v>1506.11</v>
      </c>
      <c r="F18" s="1">
        <f t="shared" si="2"/>
        <v>6692.94</v>
      </c>
      <c r="H18" s="1">
        <f t="shared" si="0"/>
        <v>2432935.0299999998</v>
      </c>
    </row>
    <row r="19" spans="1:8" hidden="1" x14ac:dyDescent="0.2">
      <c r="A19" s="31">
        <f>'FERC Interest Rates'!A27</f>
        <v>41820</v>
      </c>
      <c r="D19" s="1">
        <v>152709.69</v>
      </c>
      <c r="F19" s="1">
        <f t="shared" si="2"/>
        <v>6498.94</v>
      </c>
      <c r="H19" s="1">
        <f t="shared" si="0"/>
        <v>2592143.6599999997</v>
      </c>
    </row>
    <row r="20" spans="1:8" hidden="1" x14ac:dyDescent="0.2">
      <c r="A20" s="31">
        <f>'FERC Interest Rates'!A28</f>
        <v>41851</v>
      </c>
      <c r="D20" s="1">
        <v>167726.51</v>
      </c>
      <c r="F20" s="1">
        <f t="shared" si="2"/>
        <v>7155.03</v>
      </c>
      <c r="H20" s="1">
        <f t="shared" si="0"/>
        <v>2767025.1999999997</v>
      </c>
    </row>
    <row r="21" spans="1:8" hidden="1" x14ac:dyDescent="0.2">
      <c r="A21" s="31">
        <f>'FERC Interest Rates'!A29</f>
        <v>41882</v>
      </c>
      <c r="D21" s="1">
        <v>-467001.19</v>
      </c>
      <c r="F21" s="1">
        <f t="shared" si="2"/>
        <v>7637.75</v>
      </c>
      <c r="H21" s="1">
        <f t="shared" si="0"/>
        <v>2307661.7599999998</v>
      </c>
    </row>
    <row r="22" spans="1:8" hidden="1" x14ac:dyDescent="0.2">
      <c r="A22" s="31">
        <f>'FERC Interest Rates'!A30</f>
        <v>41912</v>
      </c>
      <c r="D22" s="1">
        <v>-76065.69</v>
      </c>
      <c r="F22" s="1">
        <f t="shared" si="2"/>
        <v>6164.3</v>
      </c>
      <c r="H22" s="1">
        <f t="shared" si="0"/>
        <v>2237760.3699999996</v>
      </c>
    </row>
    <row r="23" spans="1:8" hidden="1" x14ac:dyDescent="0.2">
      <c r="A23" s="31">
        <f>'FERC Interest Rates'!A31</f>
        <v>41943</v>
      </c>
      <c r="D23" s="1">
        <v>-41866.550000000003</v>
      </c>
      <c r="F23" s="1">
        <f t="shared" si="2"/>
        <v>6176.83</v>
      </c>
      <c r="H23" s="32">
        <f t="shared" si="0"/>
        <v>2202070.6499999994</v>
      </c>
    </row>
    <row r="24" spans="1:8" hidden="1" x14ac:dyDescent="0.2">
      <c r="A24" s="528" t="s">
        <v>76</v>
      </c>
      <c r="B24" s="528"/>
      <c r="C24" s="528"/>
      <c r="D24" s="528"/>
      <c r="E24" s="528"/>
      <c r="F24" s="528"/>
      <c r="G24" s="1">
        <v>-2789754.01</v>
      </c>
      <c r="H24" s="32">
        <f t="shared" si="0"/>
        <v>-587683.36000000034</v>
      </c>
    </row>
    <row r="25" spans="1:8" hidden="1" x14ac:dyDescent="0.2">
      <c r="A25" s="31">
        <f>'FERC Interest Rates'!A32</f>
        <v>41973</v>
      </c>
      <c r="D25" s="1">
        <v>-388093.17</v>
      </c>
      <c r="F25" s="1">
        <f t="shared" ref="F25" si="3">ROUND(H24*VLOOKUP(A25,FERCINT14,2)/365*VLOOKUP(A25,FERCINT14,3),2)</f>
        <v>-1569.84</v>
      </c>
      <c r="H25" s="32">
        <f t="shared" ref="H25" si="4">H24+SUM(D25:G25)</f>
        <v>-977346.37000000034</v>
      </c>
    </row>
    <row r="26" spans="1:8" hidden="1" x14ac:dyDescent="0.2">
      <c r="A26" s="31">
        <f>'FERC Interest Rates'!A33</f>
        <v>42004</v>
      </c>
      <c r="D26" s="1">
        <v>50810.48</v>
      </c>
      <c r="F26" s="1">
        <f t="shared" ref="F26" si="5">ROUND(H25*VLOOKUP(A26,FERCINT14,2)/365*VLOOKUP(A26,FERCINT14,3),2)</f>
        <v>-2697.74</v>
      </c>
      <c r="H26" s="32">
        <f t="shared" ref="H26:H47" si="6">H25+SUM(D26:G26)</f>
        <v>-929233.63000000035</v>
      </c>
    </row>
    <row r="27" spans="1:8" hidden="1" x14ac:dyDescent="0.2">
      <c r="A27" s="31">
        <f>'FERC Interest Rates'!A34</f>
        <v>42035</v>
      </c>
      <c r="D27" s="1">
        <v>-1925336.63</v>
      </c>
      <c r="F27" s="1">
        <f t="shared" ref="F27:F39" si="7">ROUND(H26*VLOOKUP(A27,FERCINT15,2)/365*VLOOKUP(A27,FERCINT15,3),2)</f>
        <v>-2564.94</v>
      </c>
      <c r="H27" s="32">
        <f t="shared" si="6"/>
        <v>-2857135.2</v>
      </c>
    </row>
    <row r="28" spans="1:8" hidden="1" x14ac:dyDescent="0.2">
      <c r="A28" s="31">
        <f>'FERC Interest Rates'!A35</f>
        <v>42063</v>
      </c>
      <c r="D28" s="1">
        <v>-1353526.41</v>
      </c>
      <c r="F28" s="1">
        <f t="shared" si="7"/>
        <v>-7123.27</v>
      </c>
      <c r="H28" s="32">
        <f t="shared" si="6"/>
        <v>-4217784.88</v>
      </c>
    </row>
    <row r="29" spans="1:8" hidden="1" x14ac:dyDescent="0.2">
      <c r="A29" s="31">
        <f>'FERC Interest Rates'!A36</f>
        <v>42094</v>
      </c>
      <c r="D29" s="1">
        <v>-1683298.68</v>
      </c>
      <c r="F29" s="1">
        <f t="shared" si="7"/>
        <v>-11642.24</v>
      </c>
      <c r="H29" s="32">
        <f t="shared" si="6"/>
        <v>-5912725.7999999998</v>
      </c>
    </row>
    <row r="30" spans="1:8" hidden="1" x14ac:dyDescent="0.2">
      <c r="A30" s="31">
        <f>'FERC Interest Rates'!A37</f>
        <v>42124</v>
      </c>
      <c r="D30" s="1">
        <v>-1792191.55</v>
      </c>
      <c r="F30" s="1">
        <f t="shared" si="7"/>
        <v>-15794.27</v>
      </c>
      <c r="H30" s="32">
        <f t="shared" si="6"/>
        <v>-7720711.6200000001</v>
      </c>
    </row>
    <row r="31" spans="1:8" hidden="1" x14ac:dyDescent="0.2">
      <c r="A31" s="31">
        <f>'FERC Interest Rates'!A38</f>
        <v>42155</v>
      </c>
      <c r="D31" s="1">
        <v>-1388193.03</v>
      </c>
      <c r="F31" s="1">
        <f t="shared" si="7"/>
        <v>-21311.279999999999</v>
      </c>
      <c r="H31" s="32">
        <f t="shared" si="6"/>
        <v>-9130215.9299999997</v>
      </c>
    </row>
    <row r="32" spans="1:8" hidden="1" x14ac:dyDescent="0.2">
      <c r="A32" s="31">
        <f>'FERC Interest Rates'!A39</f>
        <v>42185</v>
      </c>
      <c r="D32" s="1">
        <v>26234.13</v>
      </c>
      <c r="F32" s="1">
        <f t="shared" si="7"/>
        <v>-24388.93</v>
      </c>
      <c r="H32" s="32">
        <f t="shared" si="6"/>
        <v>-9128370.7300000004</v>
      </c>
    </row>
    <row r="33" spans="1:8" hidden="1" x14ac:dyDescent="0.2">
      <c r="A33" s="31">
        <f>'FERC Interest Rates'!A40</f>
        <v>42216</v>
      </c>
      <c r="D33" s="1">
        <v>-864942.07999999996</v>
      </c>
      <c r="F33" s="1">
        <f t="shared" si="7"/>
        <v>-25196.799999999999</v>
      </c>
      <c r="H33" s="32">
        <f t="shared" si="6"/>
        <v>-10018509.610000001</v>
      </c>
    </row>
    <row r="34" spans="1:8" hidden="1" x14ac:dyDescent="0.2">
      <c r="A34" s="31">
        <f>'FERC Interest Rates'!A41</f>
        <v>42247</v>
      </c>
      <c r="D34" s="1">
        <v>-127139.21</v>
      </c>
      <c r="F34" s="1">
        <f t="shared" si="7"/>
        <v>-27653.83</v>
      </c>
      <c r="H34" s="32">
        <f t="shared" si="6"/>
        <v>-10173302.65</v>
      </c>
    </row>
    <row r="35" spans="1:8" hidden="1" x14ac:dyDescent="0.2">
      <c r="A35" s="528" t="s">
        <v>86</v>
      </c>
      <c r="B35" s="528"/>
      <c r="C35" s="528"/>
      <c r="D35" s="528"/>
      <c r="E35" s="528"/>
      <c r="F35" s="528"/>
      <c r="G35" s="1">
        <v>9178833.8800000008</v>
      </c>
      <c r="H35" s="32">
        <f t="shared" si="6"/>
        <v>-994468.76999999955</v>
      </c>
    </row>
    <row r="36" spans="1:8" hidden="1" x14ac:dyDescent="0.2">
      <c r="A36" s="31">
        <f>'FERC Interest Rates'!A42</f>
        <v>42277</v>
      </c>
      <c r="D36" s="1">
        <v>-585536.48</v>
      </c>
      <c r="F36" s="1">
        <f>ROUND(H35*VLOOKUP(A36,FERCINT15,2)/365*VLOOKUP(A36,FERCINT15,3),2)</f>
        <v>-2656.46</v>
      </c>
      <c r="H36" s="32">
        <f t="shared" si="6"/>
        <v>-1582661.7099999995</v>
      </c>
    </row>
    <row r="37" spans="1:8" hidden="1" x14ac:dyDescent="0.2">
      <c r="A37" s="31">
        <f>'FERC Interest Rates'!A43</f>
        <v>42308</v>
      </c>
      <c r="D37" s="1">
        <v>-465803</v>
      </c>
      <c r="F37" s="1">
        <f t="shared" si="7"/>
        <v>-4368.58</v>
      </c>
      <c r="H37" s="32">
        <f>H36+SUM(D37:G37)</f>
        <v>-2052833.2899999996</v>
      </c>
    </row>
    <row r="38" spans="1:8" hidden="1" x14ac:dyDescent="0.2">
      <c r="A38" s="31">
        <f>'FERC Interest Rates'!A44</f>
        <v>42338</v>
      </c>
      <c r="D38" s="1">
        <v>-1544843.34</v>
      </c>
      <c r="F38" s="1">
        <f t="shared" si="7"/>
        <v>-5483.6</v>
      </c>
      <c r="H38" s="32">
        <f>H37+SUM(D38:G38)</f>
        <v>-3603160.2299999995</v>
      </c>
    </row>
    <row r="39" spans="1:8" hidden="1" x14ac:dyDescent="0.2">
      <c r="A39" s="31">
        <f>'FERC Interest Rates'!A45</f>
        <v>42369</v>
      </c>
      <c r="D39" s="1">
        <v>-1645881.86</v>
      </c>
      <c r="F39" s="1">
        <f t="shared" si="7"/>
        <v>-9945.7099999999991</v>
      </c>
      <c r="H39" s="32">
        <f>H38+SUM(D39:G39)</f>
        <v>-5258987.8</v>
      </c>
    </row>
    <row r="40" spans="1:8" hidden="1" x14ac:dyDescent="0.2">
      <c r="A40" s="31">
        <f>'FERC Interest Rates'!A46</f>
        <v>42400</v>
      </c>
      <c r="D40" s="1">
        <v>-2154994.2799999998</v>
      </c>
      <c r="F40" s="1">
        <f t="shared" ref="F40:F52" si="8">ROUND(H39*VLOOKUP(A40,FERCINT16,2)/365*VLOOKUP(A40,FERCINT16,3),2)</f>
        <v>-14516.25</v>
      </c>
      <c r="H40" s="32">
        <f t="shared" si="6"/>
        <v>-7428498.3300000001</v>
      </c>
    </row>
    <row r="41" spans="1:8" hidden="1" x14ac:dyDescent="0.2">
      <c r="A41" s="31">
        <f>'FERC Interest Rates'!A47</f>
        <v>42429</v>
      </c>
      <c r="D41" s="1">
        <v>-1476931.21</v>
      </c>
      <c r="F41" s="1">
        <f t="shared" si="8"/>
        <v>-19181.810000000001</v>
      </c>
      <c r="G41" s="1">
        <v>-99.96</v>
      </c>
      <c r="H41" s="32">
        <f t="shared" si="6"/>
        <v>-8924711.3100000005</v>
      </c>
    </row>
    <row r="42" spans="1:8" hidden="1" x14ac:dyDescent="0.2">
      <c r="A42" s="31">
        <f>'FERC Interest Rates'!A48</f>
        <v>42460</v>
      </c>
      <c r="D42" s="1">
        <v>-1690305.69</v>
      </c>
      <c r="F42" s="1">
        <f t="shared" si="8"/>
        <v>-24634.65</v>
      </c>
      <c r="G42" s="1">
        <v>-6148.88</v>
      </c>
      <c r="H42" s="32">
        <f t="shared" si="6"/>
        <v>-10645800.530000001</v>
      </c>
    </row>
    <row r="43" spans="1:8" hidden="1" x14ac:dyDescent="0.2">
      <c r="A43" s="31">
        <f>'FERC Interest Rates'!A49</f>
        <v>42490</v>
      </c>
      <c r="D43" s="1">
        <v>-1904970.39</v>
      </c>
      <c r="F43" s="1">
        <f t="shared" si="8"/>
        <v>-30274.91</v>
      </c>
      <c r="G43" s="1">
        <v>-710.41</v>
      </c>
      <c r="H43" s="32">
        <f t="shared" si="6"/>
        <v>-12581756.24</v>
      </c>
    </row>
    <row r="44" spans="1:8" hidden="1" x14ac:dyDescent="0.2">
      <c r="A44" s="31">
        <f>'FERC Interest Rates'!A50</f>
        <v>42521</v>
      </c>
      <c r="D44" s="1">
        <v>-1147138.95</v>
      </c>
      <c r="F44" s="1">
        <f t="shared" si="8"/>
        <v>-36973.129999999997</v>
      </c>
      <c r="G44" s="1">
        <v>-389.13</v>
      </c>
      <c r="H44" s="32">
        <f t="shared" si="6"/>
        <v>-13766257.449999999</v>
      </c>
    </row>
    <row r="45" spans="1:8" hidden="1" x14ac:dyDescent="0.2">
      <c r="A45" s="31">
        <f>'FERC Interest Rates'!A51</f>
        <v>42551</v>
      </c>
      <c r="D45" s="1">
        <v>-588401.41</v>
      </c>
      <c r="F45" s="1">
        <f t="shared" si="8"/>
        <v>-39148.97</v>
      </c>
      <c r="G45" s="1">
        <v>-6060.87</v>
      </c>
      <c r="H45" s="32">
        <f t="shared" si="6"/>
        <v>-14399868.699999999</v>
      </c>
    </row>
    <row r="46" spans="1:8" hidden="1" x14ac:dyDescent="0.2">
      <c r="A46" s="31">
        <f>'FERC Interest Rates'!A52</f>
        <v>42582</v>
      </c>
      <c r="D46" s="1">
        <v>-455489.75</v>
      </c>
      <c r="F46" s="1">
        <f t="shared" si="8"/>
        <v>-42805.09</v>
      </c>
      <c r="G46" s="1">
        <f>-500654.43+42805.09+455489.75</f>
        <v>-2359.5899999999674</v>
      </c>
      <c r="H46" s="32">
        <f t="shared" si="6"/>
        <v>-14900523.129999999</v>
      </c>
    </row>
    <row r="47" spans="1:8" hidden="1" x14ac:dyDescent="0.2">
      <c r="A47" s="31">
        <f>'FERC Interest Rates'!A53</f>
        <v>42613</v>
      </c>
      <c r="D47" s="1">
        <v>-147435.35</v>
      </c>
      <c r="F47" s="1">
        <f t="shared" si="8"/>
        <v>-44293.34</v>
      </c>
      <c r="G47" s="1">
        <f>-192518.19+44293.34+147435.35</f>
        <v>-789.5</v>
      </c>
      <c r="H47" s="32">
        <f t="shared" si="6"/>
        <v>-15093041.319999998</v>
      </c>
    </row>
    <row r="48" spans="1:8" hidden="1" x14ac:dyDescent="0.2">
      <c r="A48" s="528" t="s">
        <v>89</v>
      </c>
      <c r="B48" s="528"/>
      <c r="C48" s="528"/>
      <c r="D48" s="528"/>
      <c r="E48" s="528"/>
      <c r="F48" s="528"/>
      <c r="G48" s="1">
        <v>14485606.119999999</v>
      </c>
      <c r="H48" s="32">
        <f t="shared" ref="H48" si="9">H47+SUM(D48:G48)</f>
        <v>-607435.19999999925</v>
      </c>
    </row>
    <row r="49" spans="1:8" hidden="1" x14ac:dyDescent="0.2">
      <c r="A49" s="31">
        <f>'FERC Interest Rates'!A54</f>
        <v>42643</v>
      </c>
      <c r="D49" s="1">
        <v>-199542.95</v>
      </c>
      <c r="F49" s="1">
        <f>ROUND(H48*VLOOKUP(A49,FERCINT16,2)/365*VLOOKUP(A49,FERCINT16,3),2)</f>
        <v>-1747.42</v>
      </c>
      <c r="G49" s="1">
        <f>-310.25-73.21-249.6-110.16-216.72-71.88</f>
        <v>-1031.82</v>
      </c>
      <c r="H49" s="32">
        <f>H48+SUM(D49:G49)</f>
        <v>-809757.38999999932</v>
      </c>
    </row>
    <row r="50" spans="1:8" hidden="1" x14ac:dyDescent="0.2">
      <c r="A50" s="31">
        <f>'FERC Interest Rates'!A55</f>
        <v>42674</v>
      </c>
      <c r="D50" s="1">
        <v>-335397.51</v>
      </c>
      <c r="F50" s="1">
        <f t="shared" si="8"/>
        <v>-2407.09</v>
      </c>
      <c r="G50" s="1">
        <f>-30-310.25+71.88-71.88-246.4-71.88-47.92+74.63+310.25+323.5</f>
        <v>1.9300000000000637</v>
      </c>
      <c r="H50" s="32">
        <f t="shared" ref="H50:H75" si="10">H49+SUM(D50:G50)</f>
        <v>-1147560.0599999994</v>
      </c>
    </row>
    <row r="51" spans="1:8" hidden="1" x14ac:dyDescent="0.2">
      <c r="A51" s="31">
        <f>'FERC Interest Rates'!A56</f>
        <v>42704</v>
      </c>
      <c r="D51" s="1">
        <v>704713.46</v>
      </c>
      <c r="F51" s="1">
        <f t="shared" si="8"/>
        <v>-3301.2</v>
      </c>
      <c r="G51" s="1">
        <v>-447.57</v>
      </c>
      <c r="H51" s="32">
        <f t="shared" si="10"/>
        <v>-446595.3699999993</v>
      </c>
    </row>
    <row r="52" spans="1:8" hidden="1" x14ac:dyDescent="0.2">
      <c r="A52" s="31">
        <f>'FERC Interest Rates'!A57</f>
        <v>42735</v>
      </c>
      <c r="D52" s="1">
        <f>3430803.48-399700.78</f>
        <v>3031102.7</v>
      </c>
      <c r="F52" s="1">
        <f t="shared" si="8"/>
        <v>-1327.55</v>
      </c>
      <c r="G52" s="1">
        <f>-647-1045.5-597-647-261.38-65.34-36.76-21.78-4.27</f>
        <v>-3326.0300000000007</v>
      </c>
      <c r="H52" s="32">
        <f t="shared" si="10"/>
        <v>2579853.7500000014</v>
      </c>
    </row>
    <row r="53" spans="1:8" hidden="1" x14ac:dyDescent="0.2">
      <c r="A53" s="31">
        <f>'FERC Interest Rates'!A58</f>
        <v>42766</v>
      </c>
      <c r="D53" s="1">
        <v>4901066.0599999996</v>
      </c>
      <c r="F53" s="1">
        <f t="shared" ref="F53:F65" si="11">ROUND(H52*VLOOKUP(A53,FERCINT17,2)/365*VLOOKUP(A53,FERCINT17,3),2)</f>
        <v>7668.88</v>
      </c>
      <c r="G53" s="1">
        <f>-500-47.92-323.37-51.28-50-5.56-3.73+1045.5+47.92</f>
        <v>111.5600000000001</v>
      </c>
      <c r="H53" s="32">
        <f t="shared" si="10"/>
        <v>7488700.25</v>
      </c>
    </row>
    <row r="54" spans="1:8" hidden="1" x14ac:dyDescent="0.2">
      <c r="A54" s="31">
        <f>'FERC Interest Rates'!A59</f>
        <v>42794</v>
      </c>
      <c r="D54" s="1">
        <v>1733602.92</v>
      </c>
      <c r="F54" s="1">
        <f t="shared" si="11"/>
        <v>20106.650000000001</v>
      </c>
      <c r="G54" s="1">
        <f>-278.19-174.25</f>
        <v>-452.44</v>
      </c>
      <c r="H54" s="32">
        <f t="shared" si="10"/>
        <v>9241957.379999999</v>
      </c>
    </row>
    <row r="55" spans="1:8" hidden="1" x14ac:dyDescent="0.2">
      <c r="A55" s="31">
        <f>'FERC Interest Rates'!A60</f>
        <v>42825</v>
      </c>
      <c r="D55" s="1">
        <v>-778930.47</v>
      </c>
      <c r="F55" s="1">
        <f t="shared" si="11"/>
        <v>27472.67</v>
      </c>
      <c r="G55" s="1">
        <f>-364.45+50</f>
        <v>-314.45</v>
      </c>
      <c r="H55" s="32">
        <f t="shared" si="10"/>
        <v>8490185.129999999</v>
      </c>
    </row>
    <row r="56" spans="1:8" hidden="1" x14ac:dyDescent="0.2">
      <c r="A56" s="31">
        <f>'FERC Interest Rates'!A61</f>
        <v>42855</v>
      </c>
      <c r="D56" s="1">
        <v>-354428.35</v>
      </c>
      <c r="F56" s="1">
        <f t="shared" si="11"/>
        <v>25889.25</v>
      </c>
      <c r="G56" s="1">
        <v>-2323.67</v>
      </c>
      <c r="H56" s="32">
        <f t="shared" si="10"/>
        <v>8159322.3599999994</v>
      </c>
    </row>
    <row r="57" spans="1:8" hidden="1" x14ac:dyDescent="0.2">
      <c r="A57" s="31">
        <f>'FERC Interest Rates'!A62</f>
        <v>42886</v>
      </c>
      <c r="D57" s="1">
        <v>-371160.81</v>
      </c>
      <c r="F57" s="1">
        <f t="shared" si="11"/>
        <v>25709.69</v>
      </c>
      <c r="G57" s="1">
        <f>-1494-717-2.79-15.87</f>
        <v>-2229.66</v>
      </c>
      <c r="H57" s="32">
        <f t="shared" si="10"/>
        <v>7811641.5799999991</v>
      </c>
    </row>
    <row r="58" spans="1:8" hidden="1" x14ac:dyDescent="0.2">
      <c r="A58" s="31">
        <f>'FERC Interest Rates'!A63</f>
        <v>42916</v>
      </c>
      <c r="D58" s="1">
        <v>734514.16</v>
      </c>
      <c r="F58" s="1">
        <f t="shared" si="11"/>
        <v>23820.16</v>
      </c>
      <c r="G58" s="1">
        <f>95.84-101.09-358.5-43.56-727-2.45</f>
        <v>-1136.76</v>
      </c>
      <c r="H58" s="32">
        <f t="shared" si="10"/>
        <v>8568839.1399999987</v>
      </c>
    </row>
    <row r="59" spans="1:8" hidden="1" x14ac:dyDescent="0.2">
      <c r="A59" s="31">
        <f>'FERC Interest Rates'!A64</f>
        <v>42947</v>
      </c>
      <c r="D59" s="1">
        <v>-589039.61</v>
      </c>
      <c r="F59" s="1">
        <f t="shared" si="11"/>
        <v>28819.47</v>
      </c>
      <c r="G59" s="1">
        <f>-2091-1434-197.63</f>
        <v>-3722.63</v>
      </c>
      <c r="H59" s="32">
        <f t="shared" si="10"/>
        <v>8004896.3699999992</v>
      </c>
    </row>
    <row r="60" spans="1:8" hidden="1" x14ac:dyDescent="0.2">
      <c r="A60" s="31">
        <f>'FERC Interest Rates'!A65</f>
        <v>42978</v>
      </c>
      <c r="D60" s="1">
        <v>104863.56</v>
      </c>
      <c r="F60" s="1">
        <f t="shared" si="11"/>
        <v>26922.77</v>
      </c>
      <c r="G60" s="1">
        <f>-3387.75+717+747</f>
        <v>-1923.75</v>
      </c>
      <c r="H60" s="32">
        <f t="shared" si="10"/>
        <v>8134758.9499999993</v>
      </c>
    </row>
    <row r="61" spans="1:8" hidden="1" x14ac:dyDescent="0.2">
      <c r="A61" s="31">
        <f>'FERC Interest Rates'!A66</f>
        <v>43008</v>
      </c>
      <c r="D61" s="1">
        <v>-157172.82</v>
      </c>
      <c r="F61" s="1">
        <f t="shared" si="11"/>
        <v>26476.97</v>
      </c>
      <c r="G61" s="1">
        <f>-717-32.09-47.43-18.66-2788</f>
        <v>-3603.18</v>
      </c>
      <c r="H61" s="32">
        <f t="shared" si="10"/>
        <v>8000459.919999999</v>
      </c>
    </row>
    <row r="62" spans="1:8" hidden="1" x14ac:dyDescent="0.2">
      <c r="A62" s="31">
        <f>'FERC Interest Rates'!A67</f>
        <v>43039</v>
      </c>
      <c r="D62" s="1">
        <v>-440869.09</v>
      </c>
      <c r="F62" s="1">
        <f t="shared" si="11"/>
        <v>28606.58</v>
      </c>
      <c r="G62" s="1">
        <v>0</v>
      </c>
      <c r="H62" s="32">
        <f t="shared" si="10"/>
        <v>7588197.4099999992</v>
      </c>
    </row>
    <row r="63" spans="1:8" hidden="1" x14ac:dyDescent="0.2">
      <c r="A63" s="528" t="s">
        <v>89</v>
      </c>
      <c r="B63" s="528"/>
      <c r="C63" s="528"/>
      <c r="D63" s="528"/>
      <c r="E63" s="528"/>
      <c r="F63" s="528"/>
      <c r="G63" s="1">
        <v>-8086773.2400000002</v>
      </c>
      <c r="H63" s="32">
        <f t="shared" si="10"/>
        <v>-498575.83000000101</v>
      </c>
    </row>
    <row r="64" spans="1:8" hidden="1" x14ac:dyDescent="0.2">
      <c r="A64" s="31">
        <f>'FERC Interest Rates'!A68</f>
        <v>43069</v>
      </c>
      <c r="B64" s="162"/>
      <c r="C64" s="162"/>
      <c r="D64" s="1">
        <v>538678.29</v>
      </c>
      <c r="E64" s="162"/>
      <c r="F64" s="1">
        <f>ROUND(H63*VLOOKUP(A64,FERCINT17,2)/365*VLOOKUP(A64,FERCINT17,3),2)</f>
        <v>-1725.21</v>
      </c>
      <c r="G64" s="1">
        <f>-13.34-313.65-808.75-161.75-7.03-46.69-62.13-560.25-2187.28-21.78</f>
        <v>-4182.6500000000005</v>
      </c>
      <c r="H64" s="32">
        <f t="shared" si="10"/>
        <v>34194.599999999045</v>
      </c>
    </row>
    <row r="65" spans="1:8" hidden="1" x14ac:dyDescent="0.2">
      <c r="A65" s="31">
        <f>'FERC Interest Rates'!A69</f>
        <v>43100</v>
      </c>
      <c r="B65" s="162"/>
      <c r="C65" s="162"/>
      <c r="D65" s="1">
        <v>1082015.6399999999</v>
      </c>
      <c r="E65" s="162"/>
      <c r="F65" s="1">
        <f t="shared" si="11"/>
        <v>122.27</v>
      </c>
      <c r="G65" s="1">
        <v>-4778.87</v>
      </c>
      <c r="H65" s="32">
        <f t="shared" si="10"/>
        <v>1111553.6399999987</v>
      </c>
    </row>
    <row r="66" spans="1:8" hidden="1" x14ac:dyDescent="0.2">
      <c r="A66" s="31">
        <f>'FERC Interest Rates'!A70</f>
        <v>43131</v>
      </c>
      <c r="B66" s="162"/>
      <c r="C66" s="162"/>
      <c r="D66" s="1">
        <v>653023.03</v>
      </c>
      <c r="E66" s="162"/>
      <c r="F66" s="1">
        <f t="shared" ref="F66:F75" si="12">ROUND(H65*VLOOKUP(A66,FERCINT18,2)/365*VLOOKUP(A66,FERCINT18,3),2)</f>
        <v>4012.25</v>
      </c>
      <c r="G66" s="1">
        <v>-1184.8599999999999</v>
      </c>
      <c r="H66" s="32">
        <f t="shared" si="10"/>
        <v>1767404.0599999987</v>
      </c>
    </row>
    <row r="67" spans="1:8" hidden="1" x14ac:dyDescent="0.2">
      <c r="A67" s="31">
        <f>'FERC Interest Rates'!A71</f>
        <v>43159</v>
      </c>
      <c r="B67" s="162"/>
      <c r="C67" s="162"/>
      <c r="D67" s="1">
        <v>340119.88</v>
      </c>
      <c r="E67" s="162"/>
      <c r="F67" s="1">
        <f t="shared" si="12"/>
        <v>5762.22</v>
      </c>
      <c r="G67" s="1">
        <v>-744.36</v>
      </c>
      <c r="H67" s="32">
        <f t="shared" si="10"/>
        <v>2112541.7999999989</v>
      </c>
    </row>
    <row r="68" spans="1:8" hidden="1" x14ac:dyDescent="0.2">
      <c r="A68" s="31">
        <f>'FERC Interest Rates'!A72</f>
        <v>43190</v>
      </c>
      <c r="B68" s="162"/>
      <c r="C68" s="162"/>
      <c r="D68" s="1">
        <v>-1006779.36</v>
      </c>
      <c r="E68" s="162"/>
      <c r="F68" s="1">
        <f t="shared" si="12"/>
        <v>7625.41</v>
      </c>
      <c r="G68" s="1">
        <v>0</v>
      </c>
      <c r="H68" s="32">
        <f t="shared" si="10"/>
        <v>1113387.8499999989</v>
      </c>
    </row>
    <row r="69" spans="1:8" hidden="1" x14ac:dyDescent="0.2">
      <c r="A69" s="31">
        <f>'FERC Interest Rates'!A73</f>
        <v>43220</v>
      </c>
      <c r="B69" s="162"/>
      <c r="C69" s="162"/>
      <c r="D69" s="1">
        <v>-1246804.32</v>
      </c>
      <c r="E69" s="162"/>
      <c r="F69" s="1">
        <f t="shared" si="12"/>
        <v>4090.56</v>
      </c>
      <c r="G69" s="1">
        <f>-1394-562.95-687-281.48-30.63-156.83-1881.9-13.07</f>
        <v>-5007.8599999999997</v>
      </c>
      <c r="H69" s="32">
        <f t="shared" si="10"/>
        <v>-134333.77000000118</v>
      </c>
    </row>
    <row r="70" spans="1:8" hidden="1" x14ac:dyDescent="0.2">
      <c r="A70" s="31">
        <f>'FERC Interest Rates'!A74</f>
        <v>43251</v>
      </c>
      <c r="B70" s="162"/>
      <c r="C70" s="162"/>
      <c r="D70" s="1">
        <v>-717420.57</v>
      </c>
      <c r="E70" s="162"/>
      <c r="F70" s="1">
        <f t="shared" si="12"/>
        <v>-509.99</v>
      </c>
      <c r="G70" s="1">
        <f>-12.11+1394-705.71-122.52</f>
        <v>553.66000000000008</v>
      </c>
      <c r="H70" s="32">
        <f t="shared" si="10"/>
        <v>-851710.67000000109</v>
      </c>
    </row>
    <row r="71" spans="1:8" hidden="1" x14ac:dyDescent="0.2">
      <c r="A71" s="31">
        <f>'FERC Interest Rates'!A75</f>
        <v>43281</v>
      </c>
      <c r="B71" s="162"/>
      <c r="C71" s="162"/>
      <c r="D71" s="1">
        <f>56498.47-605038.08</f>
        <v>-548539.61</v>
      </c>
      <c r="E71" s="162"/>
      <c r="F71" s="1">
        <f t="shared" si="12"/>
        <v>-3129.16</v>
      </c>
      <c r="G71" s="1">
        <f>-8.06-40.34-4.14</f>
        <v>-52.540000000000006</v>
      </c>
      <c r="H71" s="32">
        <f t="shared" si="10"/>
        <v>-1403431.9800000011</v>
      </c>
    </row>
    <row r="72" spans="1:8" hidden="1" x14ac:dyDescent="0.2">
      <c r="A72" s="31">
        <f>'FERC Interest Rates'!A76</f>
        <v>43312</v>
      </c>
      <c r="B72" s="162"/>
      <c r="C72" s="162"/>
      <c r="D72" s="1">
        <f>22301.5-78799.97-294908.89</f>
        <v>-351407.35999999999</v>
      </c>
      <c r="E72" s="162"/>
      <c r="F72" s="1">
        <f t="shared" si="12"/>
        <v>-5590.27</v>
      </c>
      <c r="G72" s="1">
        <f>-747-40.94-20.17+687-40.21-2.14-3.92-1.43-39.26</f>
        <v>-208.07</v>
      </c>
      <c r="H72" s="32">
        <f t="shared" si="10"/>
        <v>-1760637.6800000011</v>
      </c>
    </row>
    <row r="73" spans="1:8" hidden="1" x14ac:dyDescent="0.2">
      <c r="A73" s="31">
        <f>'FERC Interest Rates'!A77</f>
        <v>43343</v>
      </c>
      <c r="B73" s="162"/>
      <c r="C73" s="162"/>
      <c r="D73" s="1">
        <v>478516.1</v>
      </c>
      <c r="E73" s="162"/>
      <c r="F73" s="1">
        <f t="shared" si="12"/>
        <v>-7013.13</v>
      </c>
      <c r="G73" s="1">
        <f>1.43-257.63</f>
        <v>-256.2</v>
      </c>
      <c r="H73" s="32">
        <f t="shared" si="10"/>
        <v>-1289390.9100000011</v>
      </c>
    </row>
    <row r="74" spans="1:8" hidden="1" x14ac:dyDescent="0.2">
      <c r="A74" s="31">
        <f>'FERC Interest Rates'!A78</f>
        <v>43373</v>
      </c>
      <c r="B74" s="162"/>
      <c r="C74" s="162"/>
      <c r="D74" s="1">
        <v>-569609.17000000004</v>
      </c>
      <c r="E74" s="162"/>
      <c r="F74" s="1">
        <f>ROUND(H73*VLOOKUP(A74,FERCINT18,2)/365*VLOOKUP(A74,FERCINT18,3),2)</f>
        <v>-4970.34</v>
      </c>
      <c r="G74" s="1">
        <f>-585886.09+4970.34+569609.17</f>
        <v>-11306.579999999958</v>
      </c>
      <c r="H74" s="32">
        <f t="shared" si="10"/>
        <v>-1875277.0000000009</v>
      </c>
    </row>
    <row r="75" spans="1:8" hidden="1" x14ac:dyDescent="0.2">
      <c r="A75" s="31">
        <f>'FERC Interest Rates'!A79</f>
        <v>43404</v>
      </c>
      <c r="B75" s="162"/>
      <c r="C75" s="162"/>
      <c r="D75" s="1">
        <v>600997.39</v>
      </c>
      <c r="E75" s="162"/>
      <c r="F75" s="1">
        <f t="shared" si="12"/>
        <v>-7899.8</v>
      </c>
      <c r="G75" s="1">
        <f>-1494-408.94-22.72-43.56-90.88-261.38</f>
        <v>-2321.48</v>
      </c>
      <c r="H75" s="32">
        <f t="shared" si="10"/>
        <v>-1284500.8900000011</v>
      </c>
    </row>
    <row r="76" spans="1:8" hidden="1" x14ac:dyDescent="0.2">
      <c r="A76" s="524" t="s">
        <v>89</v>
      </c>
      <c r="B76" s="524"/>
      <c r="C76" s="524"/>
      <c r="D76" s="524"/>
      <c r="E76" s="524"/>
      <c r="F76" s="524"/>
      <c r="G76" s="1">
        <v>1781939.86</v>
      </c>
      <c r="H76" s="32">
        <f t="shared" ref="H76:H89" si="13">H75+SUM(D76:G76)</f>
        <v>497438.96999999904</v>
      </c>
    </row>
    <row r="77" spans="1:8" hidden="1" x14ac:dyDescent="0.2">
      <c r="A77" s="163">
        <f>'FERC Interest Rates'!A80</f>
        <v>43434</v>
      </c>
      <c r="B77" s="146"/>
      <c r="C77" s="146"/>
      <c r="D77" s="146">
        <v>11481839.560000001</v>
      </c>
      <c r="E77" s="146"/>
      <c r="F77" s="146">
        <f>ROUND(H76*VLOOKUP(A77,FERCINT18,2)/365*VLOOKUP(A77,FERCINT18,3),2)</f>
        <v>2027.92</v>
      </c>
      <c r="G77" s="1">
        <v>-2310.9</v>
      </c>
      <c r="H77" s="32">
        <f t="shared" si="13"/>
        <v>11978995.549999999</v>
      </c>
    </row>
    <row r="78" spans="1:8" hidden="1" x14ac:dyDescent="0.2">
      <c r="A78" s="163">
        <f>'FERC Interest Rates'!A81</f>
        <v>43465</v>
      </c>
      <c r="B78" s="146"/>
      <c r="C78" s="146"/>
      <c r="D78" s="146">
        <f>26023479.29+1621876.21-88421.74</f>
        <v>27556933.760000002</v>
      </c>
      <c r="E78" s="146"/>
      <c r="F78" s="146">
        <f>ROUND(H77*VLOOKUP(A78,FERCINT18,2)/365*VLOOKUP(A78,FERCINT18,3),2)</f>
        <v>50462.75</v>
      </c>
      <c r="G78" s="1">
        <f>-1333769.68+408.94</f>
        <v>-1333360.74</v>
      </c>
      <c r="H78" s="32">
        <f t="shared" si="13"/>
        <v>38253031.32</v>
      </c>
    </row>
    <row r="79" spans="1:8" hidden="1" x14ac:dyDescent="0.2">
      <c r="A79" s="163">
        <f>'FERC Interest Rates'!A82</f>
        <v>43496</v>
      </c>
      <c r="B79" s="146"/>
      <c r="C79" s="146"/>
      <c r="D79" s="146">
        <v>11519106.91</v>
      </c>
      <c r="E79" s="146"/>
      <c r="F79" s="146">
        <f t="shared" ref="F79:F89" si="14">ROUND(H78*VLOOKUP(A79,FERCINT19,2)/365*VLOOKUP(A79,FERCINT19,3),2)</f>
        <v>168292.38</v>
      </c>
      <c r="G79" s="1">
        <v>-1778416.72</v>
      </c>
      <c r="H79" s="32">
        <f t="shared" si="13"/>
        <v>48162013.890000001</v>
      </c>
    </row>
    <row r="80" spans="1:8" hidden="1" x14ac:dyDescent="0.2">
      <c r="A80" s="163">
        <f>'FERC Interest Rates'!A83</f>
        <v>43524</v>
      </c>
      <c r="B80" s="146"/>
      <c r="C80" s="146"/>
      <c r="D80" s="146">
        <v>24127776.719999999</v>
      </c>
      <c r="E80" s="146"/>
      <c r="F80" s="146">
        <f t="shared" si="14"/>
        <v>191381.33</v>
      </c>
      <c r="G80" s="1">
        <f>-13612.54+60.66+800.63+560.25</f>
        <v>-12191.000000000002</v>
      </c>
      <c r="H80" s="32">
        <f t="shared" si="13"/>
        <v>72468980.939999998</v>
      </c>
    </row>
    <row r="81" spans="1:8" hidden="1" x14ac:dyDescent="0.2">
      <c r="A81" s="163">
        <f>'FERC Interest Rates'!A84</f>
        <v>43555</v>
      </c>
      <c r="B81" s="146"/>
      <c r="C81" s="146"/>
      <c r="D81" s="146">
        <v>24278408.23</v>
      </c>
      <c r="E81" s="146"/>
      <c r="F81" s="146">
        <f t="shared" si="14"/>
        <v>318823.81</v>
      </c>
      <c r="G81" s="1">
        <v>-1873251.5</v>
      </c>
      <c r="H81" s="32">
        <f t="shared" si="13"/>
        <v>95192961.479999989</v>
      </c>
    </row>
    <row r="82" spans="1:8" hidden="1" x14ac:dyDescent="0.2">
      <c r="A82" s="524" t="s">
        <v>145</v>
      </c>
      <c r="B82" s="524"/>
      <c r="C82" s="524"/>
      <c r="D82" s="524"/>
      <c r="E82" s="524"/>
      <c r="F82" s="524"/>
      <c r="G82" s="1">
        <v>-48566123.659999996</v>
      </c>
      <c r="H82" s="32">
        <f>+H81+G82</f>
        <v>46626837.819999993</v>
      </c>
    </row>
    <row r="83" spans="1:8" hidden="1" x14ac:dyDescent="0.2">
      <c r="A83" s="163">
        <f>'FERC Interest Rates'!A85</f>
        <v>43585</v>
      </c>
      <c r="B83" s="162"/>
      <c r="C83" s="162"/>
      <c r="D83" s="146">
        <v>1254983.51</v>
      </c>
      <c r="E83" s="162"/>
      <c r="F83" s="146">
        <f>ROUND(H82*VLOOKUP(A83,FERCINT19,2)/365*VLOOKUP(A83,FERCINT19,3),2)</f>
        <v>208862.68</v>
      </c>
      <c r="G83" s="1">
        <f>-50572097.05+48566123.66+5871.58+120+582.18+7842.13+5399.6+2172.27</f>
        <v>-1983985.6300000006</v>
      </c>
      <c r="H83" s="32">
        <f>H82+SUM(D83:G83)</f>
        <v>46106698.379999995</v>
      </c>
    </row>
    <row r="84" spans="1:8" hidden="1" x14ac:dyDescent="0.2">
      <c r="A84" s="163">
        <f>'FERC Interest Rates'!A86</f>
        <v>43616</v>
      </c>
      <c r="B84" s="162"/>
      <c r="C84" s="162"/>
      <c r="D84" s="146">
        <v>-472449</v>
      </c>
      <c r="E84" s="162"/>
      <c r="F84" s="146">
        <f t="shared" si="14"/>
        <v>213417.17</v>
      </c>
      <c r="G84" s="1">
        <f>-278.38+50.23</f>
        <v>-228.15</v>
      </c>
      <c r="H84" s="32">
        <f t="shared" si="13"/>
        <v>45847438.399999999</v>
      </c>
    </row>
    <row r="85" spans="1:8" hidden="1" x14ac:dyDescent="0.2">
      <c r="A85" s="163">
        <f>'FERC Interest Rates'!A87</f>
        <v>43646</v>
      </c>
      <c r="B85" s="162"/>
      <c r="C85" s="162"/>
      <c r="D85" s="146">
        <v>-108065.09</v>
      </c>
      <c r="E85" s="162"/>
      <c r="F85" s="146">
        <f t="shared" si="14"/>
        <v>205371.4</v>
      </c>
      <c r="G85" s="1">
        <f>-5.48-2.61-135-174.25-348.5-41.28-34.85-247.95+705.71+10.21+13.07</f>
        <v>-260.93000000000006</v>
      </c>
      <c r="H85" s="32">
        <f t="shared" si="13"/>
        <v>45944483.780000001</v>
      </c>
    </row>
    <row r="86" spans="1:8" hidden="1" x14ac:dyDescent="0.2">
      <c r="A86" s="163">
        <f>'FERC Interest Rates'!A88</f>
        <v>43677</v>
      </c>
      <c r="B86" s="162"/>
      <c r="C86" s="162"/>
      <c r="D86" s="146">
        <v>-71659.929999999993</v>
      </c>
      <c r="E86" s="162"/>
      <c r="F86" s="146">
        <f t="shared" si="14"/>
        <v>214617.38</v>
      </c>
      <c r="G86" s="1">
        <f>-14.52-552.75-8.55-6.3-456.98-840.38-313.65</f>
        <v>-2193.13</v>
      </c>
      <c r="H86" s="32">
        <f t="shared" si="13"/>
        <v>46085248.100000001</v>
      </c>
    </row>
    <row r="87" spans="1:8" hidden="1" x14ac:dyDescent="0.2">
      <c r="A87" s="163">
        <f>'FERC Interest Rates'!A89</f>
        <v>43708</v>
      </c>
      <c r="B87" s="162"/>
      <c r="C87" s="162"/>
      <c r="D87" s="146">
        <f>-314.96-61.04-314.96+314.96+61.04+473954.35</f>
        <v>473639.38999999996</v>
      </c>
      <c r="E87" s="162"/>
      <c r="F87" s="146">
        <f t="shared" si="14"/>
        <v>215274.93</v>
      </c>
      <c r="G87" s="1">
        <f>-80.88-348.5-291.15-1200.6-186.75</f>
        <v>-2107.88</v>
      </c>
      <c r="H87" s="32">
        <f t="shared" si="13"/>
        <v>46772054.539999999</v>
      </c>
    </row>
    <row r="88" spans="1:8" hidden="1" x14ac:dyDescent="0.2">
      <c r="A88" s="163">
        <f>'FERC Interest Rates'!A90</f>
        <v>43738</v>
      </c>
      <c r="B88" s="162"/>
      <c r="C88" s="162"/>
      <c r="D88" s="146">
        <v>-198684.5</v>
      </c>
      <c r="E88" s="162"/>
      <c r="F88" s="146">
        <f t="shared" si="14"/>
        <v>211435.32</v>
      </c>
      <c r="G88" s="1">
        <f>-277176.87+198684.5+120</f>
        <v>-78372.37</v>
      </c>
      <c r="H88" s="32">
        <f t="shared" si="13"/>
        <v>46706432.990000002</v>
      </c>
    </row>
    <row r="89" spans="1:8" hidden="1" x14ac:dyDescent="0.2">
      <c r="A89" s="163">
        <f>'FERC Interest Rates'!A91</f>
        <v>43769</v>
      </c>
      <c r="B89" s="162"/>
      <c r="C89" s="162"/>
      <c r="D89" s="146">
        <v>1771461.07</v>
      </c>
      <c r="E89" s="162"/>
      <c r="F89" s="146">
        <f t="shared" si="14"/>
        <v>215003.15</v>
      </c>
      <c r="G89" s="1">
        <f>-13719.81+117.62</f>
        <v>-13602.189999999999</v>
      </c>
      <c r="H89" s="32">
        <f t="shared" si="13"/>
        <v>48679295.020000003</v>
      </c>
    </row>
    <row r="90" spans="1:8" x14ac:dyDescent="0.2">
      <c r="A90" s="524" t="s">
        <v>152</v>
      </c>
      <c r="B90" s="524"/>
      <c r="C90" s="524"/>
      <c r="D90" s="524"/>
      <c r="E90" s="524"/>
      <c r="F90" s="524"/>
      <c r="G90" s="1">
        <v>-46723924.869999997</v>
      </c>
      <c r="H90" s="32">
        <f>+H89+G90</f>
        <v>1955370.150000006</v>
      </c>
    </row>
    <row r="91" spans="1:8" x14ac:dyDescent="0.2">
      <c r="A91" s="163">
        <f>'FERC Interest Rates'!A92</f>
        <v>43799</v>
      </c>
      <c r="B91" s="162"/>
      <c r="C91" s="162"/>
      <c r="D91" s="146">
        <f>2604231.94-84822.71</f>
        <v>2519409.23</v>
      </c>
      <c r="E91" s="162"/>
      <c r="F91" s="146">
        <f>ROUND(H90*VLOOKUP(A91,FERCINT19,2)/365*VLOOKUP(A91,FERCINT19,3),2)</f>
        <v>8710.77</v>
      </c>
      <c r="G91" s="1">
        <f>-46823558.58+46723924.87+552.75</f>
        <v>-99080.960000000894</v>
      </c>
      <c r="H91" s="32">
        <f>H90+SUM(D91:G91)</f>
        <v>4384409.1900000051</v>
      </c>
    </row>
    <row r="92" spans="1:8" x14ac:dyDescent="0.2">
      <c r="A92" s="163">
        <f>'FERC Interest Rates'!A93</f>
        <v>43830</v>
      </c>
      <c r="B92" s="162"/>
      <c r="C92" s="162"/>
      <c r="D92" s="146">
        <v>7443113.8300000001</v>
      </c>
      <c r="E92" s="162"/>
      <c r="F92" s="146">
        <f t="shared" ref="F92" si="15">ROUND(H91*VLOOKUP(A92,FERCINT19,2)/365*VLOOKUP(A92,FERCINT19,3),2)</f>
        <v>20182.7</v>
      </c>
      <c r="G92" s="1">
        <f>-393497.4+2545.2</f>
        <v>-390952.2</v>
      </c>
      <c r="H92" s="32">
        <f t="shared" ref="H92:H115" si="16">H91+SUM(D92:G92)</f>
        <v>11456753.520000005</v>
      </c>
    </row>
    <row r="93" spans="1:8" x14ac:dyDescent="0.2">
      <c r="A93" s="163">
        <f>'FERC Interest Rates'!A94</f>
        <v>43861</v>
      </c>
      <c r="B93" s="162"/>
      <c r="C93" s="162"/>
      <c r="D93" s="146">
        <v>3722203.31</v>
      </c>
      <c r="E93" s="162"/>
      <c r="F93" s="146">
        <f t="shared" ref="F93:F105" si="17">ROUND(H92*VLOOKUP(A93,FERCINT20,2)/365*VLOOKUP(A93,FERCINT20,3),2)</f>
        <v>48262.75</v>
      </c>
      <c r="G93" s="1">
        <f>339730-356181.16</f>
        <v>-16451.159999999974</v>
      </c>
      <c r="H93" s="32">
        <f t="shared" si="16"/>
        <v>15210768.420000006</v>
      </c>
    </row>
    <row r="94" spans="1:8" x14ac:dyDescent="0.2">
      <c r="A94" s="163">
        <f>'FERC Interest Rates'!A95</f>
        <v>43890</v>
      </c>
      <c r="B94" s="162"/>
      <c r="C94" s="162"/>
      <c r="D94" s="146">
        <v>1056427.6399999999</v>
      </c>
      <c r="E94" s="162"/>
      <c r="F94" s="146">
        <f t="shared" si="17"/>
        <v>59942.93</v>
      </c>
      <c r="G94" s="1">
        <f>-105944.03+0.56+180+3890</f>
        <v>-101873.47</v>
      </c>
      <c r="H94" s="32">
        <f t="shared" si="16"/>
        <v>16225265.520000005</v>
      </c>
    </row>
    <row r="95" spans="1:8" x14ac:dyDescent="0.2">
      <c r="A95" s="163">
        <f>'FERC Interest Rates'!A96</f>
        <v>43921</v>
      </c>
      <c r="B95" s="162"/>
      <c r="C95" s="162"/>
      <c r="D95" s="146">
        <v>-965632.06</v>
      </c>
      <c r="E95" s="162"/>
      <c r="F95" s="146">
        <f t="shared" si="17"/>
        <v>68350.600000000006</v>
      </c>
      <c r="G95" s="1">
        <f>-470.48-39.21-1045.5</f>
        <v>-1555.19</v>
      </c>
      <c r="H95" s="32">
        <f t="shared" si="16"/>
        <v>15326428.870000005</v>
      </c>
    </row>
    <row r="96" spans="1:8" x14ac:dyDescent="0.2">
      <c r="A96" s="163">
        <f>'FERC Interest Rates'!A97</f>
        <v>43951</v>
      </c>
      <c r="B96" s="162"/>
      <c r="C96" s="162"/>
      <c r="D96" s="146">
        <v>-1245846.81</v>
      </c>
      <c r="E96" s="162"/>
      <c r="F96" s="146">
        <f t="shared" si="17"/>
        <v>59836.06</v>
      </c>
      <c r="G96" s="1">
        <f>-28-42-737-618.3-17.18-545.03-323.39+747</f>
        <v>-1563.9</v>
      </c>
      <c r="H96" s="32">
        <f t="shared" si="16"/>
        <v>14138854.220000004</v>
      </c>
    </row>
    <row r="97" spans="1:8" x14ac:dyDescent="0.2">
      <c r="A97" s="163">
        <f>'FERC Interest Rates'!A98</f>
        <v>43982</v>
      </c>
      <c r="B97" s="162"/>
      <c r="C97" s="162"/>
      <c r="D97" s="146">
        <v>-886512.27</v>
      </c>
      <c r="E97" s="162"/>
      <c r="F97" s="146">
        <f t="shared" si="17"/>
        <v>57039.62</v>
      </c>
      <c r="G97" s="1">
        <f>-888655.76+886512.27</f>
        <v>-2143.4899999999907</v>
      </c>
      <c r="H97" s="32">
        <f t="shared" si="16"/>
        <v>13307238.080000004</v>
      </c>
    </row>
    <row r="98" spans="1:8" x14ac:dyDescent="0.2">
      <c r="A98" s="163">
        <f>'FERC Interest Rates'!A99</f>
        <v>44012</v>
      </c>
      <c r="B98" s="162"/>
      <c r="C98" s="162"/>
      <c r="D98" s="146">
        <v>-674060.38</v>
      </c>
      <c r="E98" s="162"/>
      <c r="F98" s="146">
        <f t="shared" si="17"/>
        <v>51952.92</v>
      </c>
      <c r="G98" s="1">
        <v>-4276.38</v>
      </c>
      <c r="H98" s="32">
        <f t="shared" si="16"/>
        <v>12680854.240000004</v>
      </c>
    </row>
    <row r="99" spans="1:8" x14ac:dyDescent="0.2">
      <c r="A99" s="163">
        <f>'FERC Interest Rates'!A100</f>
        <v>44043</v>
      </c>
      <c r="B99" s="162"/>
      <c r="C99" s="162"/>
      <c r="D99" s="146">
        <v>-666024.26</v>
      </c>
      <c r="E99" s="162"/>
      <c r="F99" s="146">
        <f t="shared" si="17"/>
        <v>36941.24</v>
      </c>
      <c r="G99" s="1">
        <f>-5.25-2.42-117.62</f>
        <v>-125.29</v>
      </c>
      <c r="H99" s="32">
        <f t="shared" si="16"/>
        <v>12051645.930000003</v>
      </c>
    </row>
    <row r="100" spans="1:8" x14ac:dyDescent="0.2">
      <c r="A100" s="163">
        <f>'FERC Interest Rates'!A101</f>
        <v>44074</v>
      </c>
      <c r="B100" s="162"/>
      <c r="C100" s="162"/>
      <c r="D100" s="146">
        <v>-413067.49</v>
      </c>
      <c r="E100" s="162"/>
      <c r="F100" s="146">
        <f t="shared" si="17"/>
        <v>35108.26</v>
      </c>
      <c r="G100" s="1">
        <f>-363.94+112.56</f>
        <v>-251.38</v>
      </c>
      <c r="H100" s="32">
        <f t="shared" si="16"/>
        <v>11673435.320000004</v>
      </c>
    </row>
    <row r="101" spans="1:8" x14ac:dyDescent="0.2">
      <c r="A101" s="163">
        <f>'FERC Interest Rates'!A102</f>
        <v>44104</v>
      </c>
      <c r="B101" s="162"/>
      <c r="C101" s="162"/>
      <c r="D101" s="146">
        <v>-213096.86</v>
      </c>
      <c r="E101" s="162"/>
      <c r="F101" s="146">
        <f t="shared" si="17"/>
        <v>32909.49</v>
      </c>
      <c r="G101" s="1">
        <f>-232.45-1.94-1295.3-17.43-354.42-4.97-17.51</f>
        <v>-1924.0200000000002</v>
      </c>
      <c r="H101" s="32">
        <f t="shared" si="16"/>
        <v>11491323.930000003</v>
      </c>
    </row>
    <row r="102" spans="1:8" x14ac:dyDescent="0.2">
      <c r="A102" s="163">
        <f>'FERC Interest Rates'!A103</f>
        <v>44135</v>
      </c>
      <c r="B102" s="162"/>
      <c r="C102" s="162"/>
      <c r="D102" s="146">
        <v>86188.21</v>
      </c>
      <c r="E102" s="162"/>
      <c r="F102" s="146">
        <f t="shared" si="17"/>
        <v>31719.200000000001</v>
      </c>
      <c r="G102" s="1">
        <v>-6085.13</v>
      </c>
      <c r="H102" s="32">
        <f t="shared" si="16"/>
        <v>11603146.210000003</v>
      </c>
    </row>
    <row r="103" spans="1:8" x14ac:dyDescent="0.2">
      <c r="A103" s="524" t="s">
        <v>152</v>
      </c>
      <c r="B103" s="524"/>
      <c r="C103" s="524"/>
      <c r="D103" s="524"/>
      <c r="E103" s="524"/>
      <c r="F103" s="524"/>
      <c r="G103" s="146">
        <v>-12154285.710000001</v>
      </c>
      <c r="H103" s="32">
        <f t="shared" si="16"/>
        <v>-551139.49999999814</v>
      </c>
    </row>
    <row r="104" spans="1:8" x14ac:dyDescent="0.2">
      <c r="A104" s="163">
        <f>'FERC Interest Rates'!A104</f>
        <v>44165</v>
      </c>
      <c r="B104" s="162"/>
      <c r="C104" s="162"/>
      <c r="D104" s="146">
        <v>1863900.71</v>
      </c>
      <c r="E104" s="162"/>
      <c r="F104" s="146">
        <f t="shared" si="17"/>
        <v>-1472.22</v>
      </c>
      <c r="G104" s="1">
        <f>-126.04-10.65-2.27-168.08-7.46+426.97-72.79-4391.1-26.14+1196.89+476.13</f>
        <v>-2704.54</v>
      </c>
      <c r="H104" s="32">
        <f t="shared" si="16"/>
        <v>1308584.4500000018</v>
      </c>
    </row>
    <row r="105" spans="1:8" x14ac:dyDescent="0.2">
      <c r="A105" s="163">
        <f>'FERC Interest Rates'!A105</f>
        <v>44196</v>
      </c>
      <c r="B105" s="162"/>
      <c r="C105" s="162"/>
      <c r="D105" s="146">
        <v>3091481.65</v>
      </c>
      <c r="E105" s="162"/>
      <c r="F105" s="146">
        <f t="shared" si="17"/>
        <v>3612.05</v>
      </c>
      <c r="G105" s="1">
        <f>-15.09-2.86-3.68-3761.1-246.15</f>
        <v>-4028.88</v>
      </c>
      <c r="H105" s="32">
        <f t="shared" si="16"/>
        <v>4399649.2700000014</v>
      </c>
    </row>
    <row r="106" spans="1:8" x14ac:dyDescent="0.2">
      <c r="A106" s="163">
        <f>'FERC Interest Rates'!A106</f>
        <v>44227</v>
      </c>
      <c r="B106" s="162"/>
      <c r="C106" s="162"/>
      <c r="D106" s="146">
        <v>2345649.2000000002</v>
      </c>
      <c r="E106" s="162"/>
      <c r="F106" s="146">
        <f t="shared" ref="F106:F115" si="18">ROUND(H105*VLOOKUP(A106,FERCINT21,2)/365*VLOOKUP(A106,FERCINT21,3),2)</f>
        <v>12144.24</v>
      </c>
      <c r="G106" s="1">
        <v>0</v>
      </c>
      <c r="H106" s="32">
        <f t="shared" si="16"/>
        <v>6757442.7100000018</v>
      </c>
    </row>
    <row r="107" spans="1:8" x14ac:dyDescent="0.2">
      <c r="A107" s="163">
        <f>'FERC Interest Rates'!A107</f>
        <v>44255</v>
      </c>
      <c r="B107" s="162"/>
      <c r="C107" s="162"/>
      <c r="D107" s="146">
        <v>670189.91</v>
      </c>
      <c r="E107" s="162"/>
      <c r="F107" s="146">
        <f t="shared" si="18"/>
        <v>16847.32</v>
      </c>
      <c r="G107" s="1">
        <f>-10089.63+3761.1</f>
        <v>-6328.5299999999988</v>
      </c>
      <c r="H107" s="32">
        <f t="shared" si="16"/>
        <v>7438151.410000002</v>
      </c>
    </row>
    <row r="108" spans="1:8" x14ac:dyDescent="0.2">
      <c r="A108" s="163">
        <f>'FERC Interest Rates'!A108</f>
        <v>44286</v>
      </c>
      <c r="B108" s="162"/>
      <c r="C108" s="162"/>
      <c r="D108" s="146">
        <v>1002581.35</v>
      </c>
      <c r="E108" s="162"/>
      <c r="F108" s="146">
        <f t="shared" si="18"/>
        <v>20531.34</v>
      </c>
      <c r="G108" s="1">
        <v>-915172.19</v>
      </c>
      <c r="H108" s="32">
        <f t="shared" si="16"/>
        <v>7546091.910000002</v>
      </c>
    </row>
    <row r="109" spans="1:8" x14ac:dyDescent="0.2">
      <c r="A109" s="163">
        <f>'FERC Interest Rates'!A109</f>
        <v>44316</v>
      </c>
      <c r="B109" s="162"/>
      <c r="C109" s="162"/>
      <c r="D109" s="146">
        <v>-62818.49</v>
      </c>
      <c r="E109" s="162"/>
      <c r="F109" s="146">
        <f t="shared" si="18"/>
        <v>20157.37</v>
      </c>
      <c r="G109" s="1">
        <f>-119.31-940</f>
        <v>-1059.31</v>
      </c>
      <c r="H109" s="32">
        <f t="shared" si="16"/>
        <v>7502371.4800000023</v>
      </c>
    </row>
    <row r="110" spans="1:8" x14ac:dyDescent="0.2">
      <c r="A110" s="163">
        <f>'FERC Interest Rates'!A110</f>
        <v>44347</v>
      </c>
      <c r="B110" s="162"/>
      <c r="C110" s="162"/>
      <c r="D110" s="146">
        <v>30813.07</v>
      </c>
      <c r="E110" s="162"/>
      <c r="F110" s="146">
        <f t="shared" si="18"/>
        <v>20708.599999999999</v>
      </c>
      <c r="G110" s="1">
        <f>-1854.85+56.63</f>
        <v>-1798.2199999999998</v>
      </c>
      <c r="H110" s="32">
        <f t="shared" si="16"/>
        <v>7552094.9300000025</v>
      </c>
    </row>
    <row r="111" spans="1:8" x14ac:dyDescent="0.2">
      <c r="A111" s="163">
        <f>'FERC Interest Rates'!A111</f>
        <v>44377</v>
      </c>
      <c r="B111" s="162"/>
      <c r="C111" s="162"/>
      <c r="D111" s="146">
        <v>191543.67999999999</v>
      </c>
      <c r="E111" s="162"/>
      <c r="F111" s="146">
        <f t="shared" si="18"/>
        <v>20173.400000000001</v>
      </c>
      <c r="G111" s="1">
        <f>-262.38+19.32</f>
        <v>-243.06</v>
      </c>
      <c r="H111" s="32">
        <f t="shared" si="16"/>
        <v>7763568.950000002</v>
      </c>
    </row>
    <row r="112" spans="1:8" x14ac:dyDescent="0.2">
      <c r="A112" s="163">
        <f>'FERC Interest Rates'!A112</f>
        <v>44408</v>
      </c>
      <c r="B112" s="162"/>
      <c r="C112" s="162"/>
      <c r="D112" s="146">
        <v>-213097.11</v>
      </c>
      <c r="E112" s="162"/>
      <c r="F112" s="146">
        <f t="shared" si="18"/>
        <v>21429.58</v>
      </c>
      <c r="G112" s="1">
        <f>-7.35-686.55-587.4-460.02</f>
        <v>-1741.32</v>
      </c>
      <c r="H112" s="32">
        <f t="shared" si="16"/>
        <v>7570160.1000000024</v>
      </c>
    </row>
    <row r="113" spans="1:8" x14ac:dyDescent="0.2">
      <c r="A113" s="163">
        <f>'FERC Interest Rates'!A113</f>
        <v>44439</v>
      </c>
      <c r="B113" s="162"/>
      <c r="C113" s="162"/>
      <c r="D113" s="146">
        <v>974090.32</v>
      </c>
      <c r="E113" s="162"/>
      <c r="F113" s="146">
        <f t="shared" si="18"/>
        <v>20895.72</v>
      </c>
      <c r="G113" s="1">
        <f>-6697.31+30353.46</f>
        <v>23656.149999999998</v>
      </c>
      <c r="H113" s="32">
        <f t="shared" si="16"/>
        <v>8588802.2900000028</v>
      </c>
    </row>
    <row r="114" spans="1:8" x14ac:dyDescent="0.2">
      <c r="A114" s="163">
        <f>'FERC Interest Rates'!A114</f>
        <v>44469</v>
      </c>
      <c r="B114" s="162"/>
      <c r="C114" s="162"/>
      <c r="D114" s="146">
        <v>1457121.05</v>
      </c>
      <c r="E114" s="162"/>
      <c r="F114" s="146">
        <f t="shared" si="18"/>
        <v>22942.69</v>
      </c>
      <c r="G114" s="1">
        <f>-587.8+3.59+3.22</f>
        <v>-580.9899999999999</v>
      </c>
      <c r="H114" s="32">
        <f t="shared" si="16"/>
        <v>10068285.040000003</v>
      </c>
    </row>
    <row r="115" spans="1:8" x14ac:dyDescent="0.2">
      <c r="A115" s="163">
        <f>'FERC Interest Rates'!A115</f>
        <v>44500</v>
      </c>
      <c r="B115" s="162"/>
      <c r="C115" s="162"/>
      <c r="D115" s="146">
        <v>2835435.04</v>
      </c>
      <c r="E115" s="162"/>
      <c r="F115" s="146">
        <f t="shared" si="18"/>
        <v>27791.23</v>
      </c>
      <c r="G115" s="1">
        <v>-281.81</v>
      </c>
      <c r="H115" s="32">
        <f t="shared" si="16"/>
        <v>12931229.500000004</v>
      </c>
    </row>
    <row r="116" spans="1:8" x14ac:dyDescent="0.2">
      <c r="A116" s="524" t="s">
        <v>181</v>
      </c>
      <c r="B116" s="524"/>
      <c r="C116" s="524"/>
      <c r="D116" s="524"/>
      <c r="E116" s="524"/>
      <c r="F116" s="524"/>
      <c r="G116" s="146">
        <v>-7632342.6699999999</v>
      </c>
      <c r="H116" s="32">
        <f t="shared" ref="H116:H117" si="19">H115+SUM(D116:G116)</f>
        <v>5298886.8300000038</v>
      </c>
    </row>
    <row r="117" spans="1:8" x14ac:dyDescent="0.2">
      <c r="A117" s="163">
        <f>'FERC Interest Rates'!A116</f>
        <v>44530</v>
      </c>
      <c r="B117" s="162"/>
      <c r="C117" s="162"/>
      <c r="D117" s="146">
        <v>3941343.24</v>
      </c>
      <c r="E117" s="162"/>
      <c r="F117" s="146">
        <f t="shared" ref="F117" si="20">ROUND(H116*VLOOKUP(A117,FERCINT21,2)/365*VLOOKUP(A117,FERCINT21,3),2)</f>
        <v>14154.56</v>
      </c>
      <c r="G117" s="1">
        <f>-72.79-417.15-100.83-5.05-119.52-19.7</f>
        <v>-735.04</v>
      </c>
      <c r="H117" s="32">
        <f t="shared" si="19"/>
        <v>9253649.5900000036</v>
      </c>
    </row>
    <row r="118" spans="1:8" x14ac:dyDescent="0.2">
      <c r="A118" s="163">
        <f>'FERC Interest Rates'!A117</f>
        <v>44561</v>
      </c>
      <c r="B118" s="162"/>
      <c r="C118" s="162"/>
      <c r="D118" s="146">
        <v>8491383.3000000007</v>
      </c>
      <c r="E118" s="162"/>
      <c r="F118" s="146">
        <f t="shared" ref="F118" si="21">ROUND(H117*VLOOKUP(A118,FERCINT21,2)/365*VLOOKUP(A118,FERCINT21,3),2)</f>
        <v>25542.61</v>
      </c>
      <c r="G118" s="1">
        <v>-277</v>
      </c>
      <c r="H118" s="32">
        <f t="shared" ref="H118:H119" si="22">H117+SUM(D118:G118)</f>
        <v>17770298.500000004</v>
      </c>
    </row>
    <row r="119" spans="1:8" x14ac:dyDescent="0.2">
      <c r="A119" s="163">
        <f>'FERC Interest Rates'!A118</f>
        <v>44592</v>
      </c>
      <c r="B119" s="162"/>
      <c r="C119" s="162"/>
      <c r="D119" s="146">
        <v>8995285.6400000006</v>
      </c>
      <c r="E119" s="162"/>
      <c r="F119" s="146">
        <f t="shared" ref="F119:F125" si="23">ROUND(H118*VLOOKUP(A119,FERCINT22,2)/365*VLOOKUP(A119,FERCINT22,3),2)</f>
        <v>49050.89</v>
      </c>
      <c r="G119" s="1">
        <f>-462307.23+4820.88+147.07</f>
        <v>-457339.27999999997</v>
      </c>
      <c r="H119" s="32">
        <f t="shared" si="22"/>
        <v>26357295.750000007</v>
      </c>
    </row>
    <row r="120" spans="1:8" x14ac:dyDescent="0.2">
      <c r="A120" s="163">
        <f>'FERC Interest Rates'!A119</f>
        <v>44620</v>
      </c>
      <c r="B120" s="162"/>
      <c r="C120" s="162"/>
      <c r="D120" s="146">
        <f>4060515.8+45479.71</f>
        <v>4105995.51</v>
      </c>
      <c r="E120" s="162"/>
      <c r="F120" s="146">
        <f t="shared" si="23"/>
        <v>65712.710000000006</v>
      </c>
      <c r="G120" s="1">
        <f>-138824.18+174.25</f>
        <v>-138649.93</v>
      </c>
      <c r="H120" s="32">
        <f t="shared" ref="H120:H125" si="24">H119+SUM(D120:G120)</f>
        <v>30390354.040000007</v>
      </c>
    </row>
    <row r="121" spans="1:8" x14ac:dyDescent="0.2">
      <c r="A121" s="163">
        <f>'FERC Interest Rates'!A120</f>
        <v>44651</v>
      </c>
      <c r="B121" s="162"/>
      <c r="C121" s="162"/>
      <c r="D121" s="146">
        <f>-1.66+2003206.98+30904.35</f>
        <v>2034109.6700000002</v>
      </c>
      <c r="E121" s="162"/>
      <c r="F121" s="146">
        <f t="shared" si="23"/>
        <v>83885.7</v>
      </c>
      <c r="G121" s="1">
        <f>-960.55-545.25-492.53-14.19-42.22+492.53</f>
        <v>-1562.2099999999998</v>
      </c>
      <c r="H121" s="32">
        <f t="shared" si="24"/>
        <v>32506787.200000007</v>
      </c>
    </row>
    <row r="122" spans="1:8" x14ac:dyDescent="0.2">
      <c r="A122" s="163">
        <f>'FERC Interest Rates'!A121</f>
        <v>44681</v>
      </c>
      <c r="B122" s="162"/>
      <c r="C122" s="162"/>
      <c r="D122" s="146">
        <f>3639684.49+36132.19</f>
        <v>3675816.68</v>
      </c>
      <c r="E122" s="162"/>
      <c r="F122" s="146">
        <f t="shared" si="23"/>
        <v>86833.2</v>
      </c>
      <c r="G122" s="1">
        <v>-313.64999999999998</v>
      </c>
      <c r="H122" s="32">
        <f t="shared" si="24"/>
        <v>36269123.430000007</v>
      </c>
    </row>
    <row r="123" spans="1:8" x14ac:dyDescent="0.2">
      <c r="A123" s="524" t="s">
        <v>197</v>
      </c>
      <c r="B123" s="524"/>
      <c r="C123" s="524"/>
      <c r="D123" s="524"/>
      <c r="E123" s="524"/>
      <c r="F123" s="524"/>
      <c r="G123" s="146">
        <v>-1888502.14</v>
      </c>
      <c r="H123" s="32">
        <f t="shared" ref="H123" si="25">H122+SUM(D123:G123)</f>
        <v>34380621.290000007</v>
      </c>
    </row>
    <row r="124" spans="1:8" x14ac:dyDescent="0.2">
      <c r="A124" s="163">
        <f>'FERC Interest Rates'!A122</f>
        <v>44712</v>
      </c>
      <c r="B124" s="162"/>
      <c r="C124" s="162"/>
      <c r="D124" s="146">
        <v>3415077.36</v>
      </c>
      <c r="E124" s="162"/>
      <c r="F124" s="146">
        <f>ROUND(H123*VLOOKUP(A124,FERCINT22,2)/365*VLOOKUP(A124,FERCINT22,3),2)</f>
        <v>94899.93</v>
      </c>
      <c r="G124" s="1">
        <f>-23.19-336.15-373.5-140.76-117.62-176.43</f>
        <v>-1167.6499999999999</v>
      </c>
      <c r="H124" s="32">
        <f>H123+SUM(D124:G124)</f>
        <v>37889430.930000007</v>
      </c>
    </row>
    <row r="125" spans="1:8" x14ac:dyDescent="0.2">
      <c r="A125" s="163">
        <f>'FERC Interest Rates'!A123</f>
        <v>44742</v>
      </c>
      <c r="B125" s="162"/>
      <c r="C125" s="162"/>
      <c r="D125" s="146">
        <v>3098937.13</v>
      </c>
      <c r="E125" s="162"/>
      <c r="F125" s="146">
        <f t="shared" si="23"/>
        <v>101211.49</v>
      </c>
      <c r="G125" s="1">
        <v>-104.57</v>
      </c>
      <c r="H125" s="32">
        <f t="shared" si="24"/>
        <v>41089474.980000004</v>
      </c>
    </row>
  </sheetData>
  <mergeCells count="26">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 ref="A11:G11"/>
    <mergeCell ref="A24:F24"/>
    <mergeCell ref="A82:F82"/>
    <mergeCell ref="A76:F76"/>
    <mergeCell ref="A63:F63"/>
    <mergeCell ref="A48:F48"/>
    <mergeCell ref="A35:F35"/>
    <mergeCell ref="A103:F103"/>
    <mergeCell ref="A90:F90"/>
    <mergeCell ref="D9:F9"/>
    <mergeCell ref="A7:B7"/>
  </mergeCells>
  <phoneticPr fontId="0" type="noConversion"/>
  <printOptions horizontalCentered="1"/>
  <pageMargins left="0.5" right="0.25" top="0.5" bottom="0.25" header="0.3" footer="0.3"/>
  <pageSetup scale="89" orientation="portrait" r:id="rId1"/>
  <headerFooter>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6"/>
  <sheetViews>
    <sheetView view="pageBreakPreview" zoomScale="75" zoomScaleNormal="75" zoomScaleSheetLayoutView="75" workbookViewId="0">
      <pane xSplit="1" ySplit="10" topLeftCell="B73" activePane="bottomRight" state="frozen"/>
      <selection activeCell="H129" sqref="H129"/>
      <selection pane="topRight" activeCell="H129" sqref="H129"/>
      <selection pane="bottomLeft" activeCell="H129" sqref="H129"/>
      <selection pane="bottomRight" activeCell="H86" sqref="H86"/>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109375" style="1" bestFit="1" customWidth="1"/>
    <col min="8" max="8" width="12.77734375" style="1" bestFit="1" customWidth="1"/>
    <col min="9" max="9" width="10.109375" style="1" bestFit="1" customWidth="1"/>
    <col min="10" max="16384" width="8.88671875" style="1"/>
  </cols>
  <sheetData>
    <row r="1" spans="1:9" x14ac:dyDescent="0.2">
      <c r="A1" s="548" t="s">
        <v>13</v>
      </c>
      <c r="B1" s="549"/>
      <c r="C1" s="562" t="s">
        <v>14</v>
      </c>
      <c r="D1" s="562"/>
      <c r="E1" s="562"/>
      <c r="F1" s="562"/>
      <c r="G1" s="562"/>
      <c r="H1" s="563"/>
    </row>
    <row r="2" spans="1:9" x14ac:dyDescent="0.2">
      <c r="A2" s="541" t="s">
        <v>16</v>
      </c>
      <c r="B2" s="533"/>
      <c r="C2" s="534" t="s">
        <v>92</v>
      </c>
      <c r="D2" s="534"/>
      <c r="E2" s="534"/>
      <c r="F2" s="534"/>
      <c r="G2" s="534"/>
      <c r="H2" s="538"/>
    </row>
    <row r="3" spans="1:9" x14ac:dyDescent="0.2">
      <c r="A3" s="541" t="s">
        <v>17</v>
      </c>
      <c r="B3" s="533"/>
      <c r="C3" s="534" t="s">
        <v>93</v>
      </c>
      <c r="D3" s="534"/>
      <c r="E3" s="534"/>
      <c r="F3" s="534"/>
      <c r="G3" s="534"/>
      <c r="H3" s="538"/>
    </row>
    <row r="4" spans="1:9" x14ac:dyDescent="0.2">
      <c r="A4" s="541" t="s">
        <v>18</v>
      </c>
      <c r="B4" s="533"/>
      <c r="C4" s="534" t="s">
        <v>19</v>
      </c>
      <c r="D4" s="534"/>
      <c r="E4" s="534"/>
      <c r="F4" s="534"/>
      <c r="G4" s="534"/>
      <c r="H4" s="538"/>
    </row>
    <row r="5" spans="1:9" x14ac:dyDescent="0.2">
      <c r="A5" s="541" t="s">
        <v>20</v>
      </c>
      <c r="B5" s="533"/>
      <c r="C5" s="534" t="s">
        <v>180</v>
      </c>
      <c r="D5" s="534"/>
      <c r="E5" s="534"/>
      <c r="F5" s="534"/>
      <c r="G5" s="534"/>
      <c r="H5" s="538"/>
    </row>
    <row r="6" spans="1:9" x14ac:dyDescent="0.2">
      <c r="A6" s="541" t="s">
        <v>21</v>
      </c>
      <c r="B6" s="533"/>
      <c r="C6" s="534" t="s">
        <v>68</v>
      </c>
      <c r="D6" s="534"/>
      <c r="E6" s="534"/>
      <c r="F6" s="534"/>
      <c r="G6" s="534"/>
      <c r="H6" s="538"/>
    </row>
    <row r="7" spans="1:9" ht="13.5" thickBot="1" x14ac:dyDescent="0.25">
      <c r="A7" s="542" t="s">
        <v>22</v>
      </c>
      <c r="B7" s="543"/>
      <c r="C7" s="544" t="s">
        <v>94</v>
      </c>
      <c r="D7" s="544"/>
      <c r="E7" s="544"/>
      <c r="F7" s="544"/>
      <c r="G7" s="544"/>
      <c r="H7" s="545"/>
    </row>
    <row r="8" spans="1:9" x14ac:dyDescent="0.2">
      <c r="A8" s="2"/>
      <c r="B8" s="2"/>
      <c r="C8" s="3"/>
      <c r="D8" s="3"/>
      <c r="E8" s="3"/>
      <c r="F8" s="3"/>
      <c r="G8" s="3"/>
      <c r="H8" s="3"/>
    </row>
    <row r="9" spans="1:9" x14ac:dyDescent="0.2">
      <c r="A9" s="4"/>
      <c r="D9" s="529" t="s">
        <v>38</v>
      </c>
      <c r="E9" s="529"/>
      <c r="F9" s="529"/>
    </row>
    <row r="10" spans="1:9" s="5" customFormat="1" ht="25.5" customHeight="1" x14ac:dyDescent="0.2">
      <c r="A10" s="5" t="s">
        <v>39</v>
      </c>
      <c r="B10" s="5" t="s">
        <v>4</v>
      </c>
      <c r="C10" s="5" t="s">
        <v>12</v>
      </c>
      <c r="D10" s="5" t="s">
        <v>23</v>
      </c>
      <c r="E10" s="5" t="s">
        <v>24</v>
      </c>
      <c r="F10" s="5" t="s">
        <v>2</v>
      </c>
      <c r="G10" s="5" t="s">
        <v>0</v>
      </c>
      <c r="H10" s="5" t="s">
        <v>1</v>
      </c>
    </row>
    <row r="11" spans="1:9" hidden="1" x14ac:dyDescent="0.2">
      <c r="A11" s="527" t="s">
        <v>95</v>
      </c>
      <c r="B11" s="527"/>
      <c r="C11" s="527"/>
      <c r="D11" s="527"/>
      <c r="E11" s="527"/>
      <c r="F11" s="527"/>
      <c r="G11" s="527"/>
      <c r="H11" s="1">
        <v>0</v>
      </c>
    </row>
    <row r="12" spans="1:9" hidden="1" x14ac:dyDescent="0.2">
      <c r="A12" s="6">
        <f>'FERC Interest Rates'!A54</f>
        <v>42643</v>
      </c>
      <c r="D12" s="1">
        <v>11987.21</v>
      </c>
      <c r="F12" s="1">
        <f>ROUND(H11*VLOOKUP(A12,FERCINT16,2)/365*VLOOKUP(A12,FERCINT16,3),2)</f>
        <v>0</v>
      </c>
      <c r="H12" s="1">
        <f>+SUM(D12:G12)+H11</f>
        <v>11987.21</v>
      </c>
      <c r="I12" s="1">
        <v>20479.23</v>
      </c>
    </row>
    <row r="13" spans="1:9" hidden="1" x14ac:dyDescent="0.2">
      <c r="A13" s="6">
        <f>'FERC Interest Rates'!A55</f>
        <v>42674</v>
      </c>
      <c r="D13" s="1">
        <v>106762.45</v>
      </c>
      <c r="F13" s="1">
        <f>ROUND(H12*VLOOKUP(A13,FERCINT16,2)/365*VLOOKUP(A13,FERCINT16,3),2)</f>
        <v>35.630000000000003</v>
      </c>
      <c r="H13" s="1">
        <f t="shared" ref="H13:H14" si="0">+SUM(D13:G13)+H12</f>
        <v>118785.29000000001</v>
      </c>
      <c r="I13" s="1">
        <v>143649.13</v>
      </c>
    </row>
    <row r="14" spans="1:9" hidden="1" x14ac:dyDescent="0.2">
      <c r="A14" s="6">
        <f>'FERC Interest Rates'!A56</f>
        <v>42704</v>
      </c>
      <c r="D14" s="1">
        <v>1565078.06</v>
      </c>
      <c r="F14" s="1">
        <f>ROUND(H13*VLOOKUP(A14,FERCINT16,2)/365*VLOOKUP(A14,FERCINT16,3),2)</f>
        <v>341.71</v>
      </c>
      <c r="H14" s="1">
        <f t="shared" si="0"/>
        <v>1684205.06</v>
      </c>
      <c r="I14" s="1">
        <v>1732329.4900000002</v>
      </c>
    </row>
    <row r="15" spans="1:9" hidden="1" x14ac:dyDescent="0.2">
      <c r="A15" s="6">
        <f>'FERC Interest Rates'!A57</f>
        <v>42735</v>
      </c>
      <c r="D15" s="1">
        <v>-1878222.42</v>
      </c>
      <c r="F15" s="1">
        <f>ROUND(H14*VLOOKUP(A15,FERCINT16,2)/365*VLOOKUP(A15,FERCINT16,3),2)</f>
        <v>5006.47</v>
      </c>
      <c r="H15" s="1">
        <f t="shared" ref="H15:H38" si="1">+SUM(D15:G15)+H14</f>
        <v>-189010.8899999999</v>
      </c>
      <c r="I15" s="1">
        <v>-92332.799999999814</v>
      </c>
    </row>
    <row r="16" spans="1:9" hidden="1" x14ac:dyDescent="0.2">
      <c r="A16" s="6">
        <f>'FERC Interest Rates'!A58</f>
        <v>42766</v>
      </c>
      <c r="D16" s="1">
        <v>-3172497.17</v>
      </c>
      <c r="F16" s="1">
        <f t="shared" ref="F16:F28" si="2">ROUND(H15*VLOOKUP(A16,FERCINT17,2)/365*VLOOKUP(A16,FERCINT17,3),2)</f>
        <v>-561.85</v>
      </c>
      <c r="H16" s="1">
        <f t="shared" si="1"/>
        <v>-3362069.91</v>
      </c>
      <c r="I16" s="1">
        <v>-3213213.43</v>
      </c>
    </row>
    <row r="17" spans="1:9" hidden="1" x14ac:dyDescent="0.2">
      <c r="A17" s="6">
        <f>'FERC Interest Rates'!A59</f>
        <v>42794</v>
      </c>
      <c r="D17" s="1">
        <v>-1296785.68</v>
      </c>
      <c r="F17" s="1">
        <f t="shared" si="2"/>
        <v>-9026.93</v>
      </c>
      <c r="H17" s="1">
        <f t="shared" si="1"/>
        <v>-4667882.5199999996</v>
      </c>
      <c r="I17" s="1">
        <v>-4481018.49</v>
      </c>
    </row>
    <row r="18" spans="1:9" hidden="1" x14ac:dyDescent="0.2">
      <c r="A18" s="6">
        <f>'FERC Interest Rates'!A60</f>
        <v>42825</v>
      </c>
      <c r="D18" s="1">
        <v>-644163.9</v>
      </c>
      <c r="F18" s="1">
        <f t="shared" si="2"/>
        <v>-13875.76</v>
      </c>
      <c r="H18" s="1">
        <f t="shared" si="1"/>
        <v>-5325922.18</v>
      </c>
      <c r="I18" s="1">
        <v>-5108995.66</v>
      </c>
    </row>
    <row r="19" spans="1:9" hidden="1" x14ac:dyDescent="0.2">
      <c r="A19" s="6">
        <f>'FERC Interest Rates'!A61</f>
        <v>42855</v>
      </c>
      <c r="D19" s="1">
        <v>-800040.13</v>
      </c>
      <c r="F19" s="1">
        <f t="shared" si="2"/>
        <v>-16240.41</v>
      </c>
      <c r="H19" s="1">
        <f t="shared" si="1"/>
        <v>-6142202.7199999997</v>
      </c>
      <c r="I19" s="1">
        <v>-5904265.2999999998</v>
      </c>
    </row>
    <row r="20" spans="1:9" hidden="1" x14ac:dyDescent="0.2">
      <c r="A20" s="6">
        <f>'FERC Interest Rates'!A62</f>
        <v>42886</v>
      </c>
      <c r="D20" s="1">
        <v>-358834.1</v>
      </c>
      <c r="F20" s="1">
        <f t="shared" si="2"/>
        <v>-19353.830000000002</v>
      </c>
      <c r="H20" s="1">
        <f t="shared" si="1"/>
        <v>-6520390.6499999994</v>
      </c>
      <c r="I20" s="1">
        <v>-6268739.46</v>
      </c>
    </row>
    <row r="21" spans="1:9" hidden="1" x14ac:dyDescent="0.2">
      <c r="A21" s="6">
        <f>'FERC Interest Rates'!A63</f>
        <v>42916</v>
      </c>
      <c r="D21" s="1">
        <v>736242.69</v>
      </c>
      <c r="F21" s="1">
        <f t="shared" si="2"/>
        <v>-19882.73</v>
      </c>
      <c r="H21" s="1">
        <f t="shared" si="1"/>
        <v>-5804030.6899999995</v>
      </c>
      <c r="I21" s="1">
        <v>-5546462.7699999996</v>
      </c>
    </row>
    <row r="22" spans="1:9" hidden="1" x14ac:dyDescent="0.2">
      <c r="A22" s="6">
        <f>'FERC Interest Rates'!A64</f>
        <v>42947</v>
      </c>
      <c r="D22" s="1">
        <v>133175.96</v>
      </c>
      <c r="F22" s="1">
        <f t="shared" si="2"/>
        <v>-19520.62</v>
      </c>
      <c r="H22" s="1">
        <f t="shared" si="1"/>
        <v>-5690375.3499999996</v>
      </c>
      <c r="I22" s="1">
        <v>-5425327.8199999994</v>
      </c>
    </row>
    <row r="23" spans="1:9" hidden="1" x14ac:dyDescent="0.2">
      <c r="A23" s="6">
        <f>'FERC Interest Rates'!A65</f>
        <v>42978</v>
      </c>
      <c r="D23" s="1">
        <v>493325.73</v>
      </c>
      <c r="F23" s="1">
        <f t="shared" si="2"/>
        <v>-19138.37</v>
      </c>
      <c r="H23" s="1">
        <f t="shared" si="1"/>
        <v>-5216187.9899999993</v>
      </c>
      <c r="I23" s="1">
        <v>-4944456.72</v>
      </c>
    </row>
    <row r="24" spans="1:9" hidden="1" x14ac:dyDescent="0.2">
      <c r="A24" s="6">
        <f>'FERC Interest Rates'!A66</f>
        <v>43008</v>
      </c>
      <c r="D24" s="1">
        <v>-32838.199999999997</v>
      </c>
      <c r="F24" s="1">
        <f t="shared" si="2"/>
        <v>-16977.62</v>
      </c>
      <c r="H24" s="1">
        <f t="shared" si="1"/>
        <v>-5266003.8099999996</v>
      </c>
      <c r="I24" s="1">
        <v>-4984571.5999999996</v>
      </c>
    </row>
    <row r="25" spans="1:9" hidden="1" x14ac:dyDescent="0.2">
      <c r="A25" s="6">
        <f>'FERC Interest Rates'!A67</f>
        <v>43039</v>
      </c>
      <c r="D25" s="1">
        <v>-89282.54</v>
      </c>
      <c r="F25" s="1">
        <f t="shared" si="2"/>
        <v>-18829.21</v>
      </c>
      <c r="H25" s="1">
        <f t="shared" si="1"/>
        <v>-5374115.5599999996</v>
      </c>
    </row>
    <row r="26" spans="1:9" hidden="1" x14ac:dyDescent="0.2">
      <c r="A26" s="528" t="s">
        <v>108</v>
      </c>
      <c r="B26" s="528"/>
      <c r="C26" s="528"/>
      <c r="D26" s="528"/>
      <c r="E26" s="528"/>
      <c r="F26" s="528"/>
      <c r="G26" s="1">
        <v>195037.47</v>
      </c>
      <c r="H26" s="1">
        <f t="shared" si="1"/>
        <v>-5179078.09</v>
      </c>
    </row>
    <row r="27" spans="1:9" hidden="1" x14ac:dyDescent="0.2">
      <c r="A27" s="6">
        <f>'FERC Interest Rates'!A68</f>
        <v>43069</v>
      </c>
      <c r="B27" s="162"/>
      <c r="C27" s="162"/>
      <c r="D27" s="1">
        <v>-64892.24</v>
      </c>
      <c r="F27" s="1">
        <f>ROUND(H26*VLOOKUP(A27,FERCINT17,2)/365*VLOOKUP(A27,FERCINT17,3),2)</f>
        <v>-17921.03</v>
      </c>
      <c r="H27" s="1">
        <f t="shared" si="1"/>
        <v>-5261891.3599999994</v>
      </c>
    </row>
    <row r="28" spans="1:9" hidden="1" x14ac:dyDescent="0.2">
      <c r="A28" s="6">
        <f>'FERC Interest Rates'!A69</f>
        <v>43100</v>
      </c>
      <c r="B28" s="162"/>
      <c r="C28" s="162"/>
      <c r="D28" s="1">
        <v>-618556.96</v>
      </c>
      <c r="E28" s="1">
        <v>-680.9</v>
      </c>
      <c r="F28" s="1">
        <f t="shared" si="2"/>
        <v>-18814.509999999998</v>
      </c>
      <c r="H28" s="1">
        <f t="shared" si="1"/>
        <v>-5899943.7299999995</v>
      </c>
    </row>
    <row r="29" spans="1:9" hidden="1" x14ac:dyDescent="0.2">
      <c r="A29" s="6">
        <f>'FERC Interest Rates'!A70</f>
        <v>43131</v>
      </c>
      <c r="B29" s="162"/>
      <c r="C29" s="162"/>
      <c r="D29" s="1">
        <v>254921.14</v>
      </c>
      <c r="F29" s="1">
        <f t="shared" ref="F29:F41" si="3">ROUND(H28*VLOOKUP(A29,FERCINT18,2)/365*VLOOKUP(A29,FERCINT18,3),2)</f>
        <v>-21296.37</v>
      </c>
      <c r="H29" s="1">
        <f t="shared" si="1"/>
        <v>-5666318.959999999</v>
      </c>
    </row>
    <row r="30" spans="1:9" hidden="1" x14ac:dyDescent="0.2">
      <c r="A30" s="6">
        <f>'FERC Interest Rates'!A71</f>
        <v>43159</v>
      </c>
      <c r="B30" s="162"/>
      <c r="C30" s="162"/>
      <c r="D30" s="1">
        <v>-811118.47</v>
      </c>
      <c r="F30" s="1">
        <f t="shared" si="3"/>
        <v>-18473.75</v>
      </c>
      <c r="H30" s="1">
        <f t="shared" si="1"/>
        <v>-6495911.1799999988</v>
      </c>
    </row>
    <row r="31" spans="1:9" hidden="1" x14ac:dyDescent="0.2">
      <c r="A31" s="6">
        <f>'FERC Interest Rates'!A72</f>
        <v>43190</v>
      </c>
      <c r="B31" s="162"/>
      <c r="C31" s="162"/>
      <c r="D31" s="1">
        <v>-448352.57</v>
      </c>
      <c r="F31" s="1">
        <f t="shared" si="3"/>
        <v>-23447.57</v>
      </c>
      <c r="H31" s="1">
        <f t="shared" si="1"/>
        <v>-6967711.3199999984</v>
      </c>
    </row>
    <row r="32" spans="1:9" hidden="1" x14ac:dyDescent="0.2">
      <c r="A32" s="6">
        <f>'FERC Interest Rates'!A73</f>
        <v>43220</v>
      </c>
      <c r="B32" s="162"/>
      <c r="C32" s="162"/>
      <c r="D32" s="1">
        <v>-552354.38</v>
      </c>
      <c r="F32" s="1">
        <f t="shared" si="3"/>
        <v>-25599.18</v>
      </c>
      <c r="H32" s="1">
        <f t="shared" si="1"/>
        <v>-7545664.879999999</v>
      </c>
    </row>
    <row r="33" spans="1:8" hidden="1" x14ac:dyDescent="0.2">
      <c r="A33" s="6">
        <f>'FERC Interest Rates'!A74</f>
        <v>43251</v>
      </c>
      <c r="B33" s="162"/>
      <c r="C33" s="162"/>
      <c r="D33" s="1">
        <v>546739.6</v>
      </c>
      <c r="F33" s="1">
        <f t="shared" si="3"/>
        <v>-28646.65</v>
      </c>
      <c r="H33" s="1">
        <f t="shared" si="1"/>
        <v>-7027571.9299999988</v>
      </c>
    </row>
    <row r="34" spans="1:8" hidden="1" x14ac:dyDescent="0.2">
      <c r="A34" s="6">
        <f>'FERC Interest Rates'!A75</f>
        <v>43281</v>
      </c>
      <c r="B34" s="162"/>
      <c r="C34" s="162"/>
      <c r="D34" s="1">
        <v>-92773.67</v>
      </c>
      <c r="F34" s="1">
        <f t="shared" si="3"/>
        <v>-25819.11</v>
      </c>
      <c r="H34" s="1">
        <f t="shared" si="1"/>
        <v>-7146164.709999999</v>
      </c>
    </row>
    <row r="35" spans="1:8" hidden="1" x14ac:dyDescent="0.2">
      <c r="A35" s="6">
        <f>'FERC Interest Rates'!A76</f>
        <v>43312</v>
      </c>
      <c r="B35" s="162"/>
      <c r="C35" s="162"/>
      <c r="D35" s="1">
        <v>23270.85</v>
      </c>
      <c r="F35" s="1">
        <f t="shared" si="3"/>
        <v>-28465.23</v>
      </c>
      <c r="H35" s="1">
        <f t="shared" si="1"/>
        <v>-7151359.0899999989</v>
      </c>
    </row>
    <row r="36" spans="1:8" hidden="1" x14ac:dyDescent="0.2">
      <c r="A36" s="6">
        <f>'FERC Interest Rates'!A77</f>
        <v>43343</v>
      </c>
      <c r="B36" s="162"/>
      <c r="C36" s="162"/>
      <c r="D36" s="1">
        <v>450457.18</v>
      </c>
      <c r="F36" s="1">
        <f t="shared" si="3"/>
        <v>-28485.919999999998</v>
      </c>
      <c r="H36" s="1">
        <f t="shared" si="1"/>
        <v>-6729387.8299999991</v>
      </c>
    </row>
    <row r="37" spans="1:8" hidden="1" x14ac:dyDescent="0.2">
      <c r="A37" s="6">
        <f>'FERC Interest Rates'!A78</f>
        <v>43373</v>
      </c>
      <c r="B37" s="162"/>
      <c r="C37" s="162"/>
      <c r="D37" s="1">
        <v>-83303.360000000001</v>
      </c>
      <c r="F37" s="1">
        <f t="shared" si="3"/>
        <v>-25940.41</v>
      </c>
      <c r="H37" s="1">
        <f t="shared" si="1"/>
        <v>-6838631.5999999987</v>
      </c>
    </row>
    <row r="38" spans="1:8" hidden="1" x14ac:dyDescent="0.2">
      <c r="A38" s="6">
        <f>'FERC Interest Rates'!A79</f>
        <v>43404</v>
      </c>
      <c r="B38" s="162"/>
      <c r="C38" s="162"/>
      <c r="D38" s="1">
        <v>302039.75</v>
      </c>
      <c r="F38" s="1">
        <f t="shared" si="3"/>
        <v>-28808.44</v>
      </c>
      <c r="H38" s="1">
        <f t="shared" si="1"/>
        <v>-6565400.2899999991</v>
      </c>
    </row>
    <row r="39" spans="1:8" hidden="1" x14ac:dyDescent="0.2">
      <c r="A39" s="528" t="s">
        <v>108</v>
      </c>
      <c r="B39" s="528"/>
      <c r="C39" s="528"/>
      <c r="D39" s="528"/>
      <c r="E39" s="528"/>
      <c r="F39" s="528"/>
      <c r="G39" s="1">
        <v>6125923.8899999997</v>
      </c>
      <c r="H39" s="1">
        <f t="shared" ref="H39:H51" si="4">+SUM(D39:G39)+H38</f>
        <v>-439476.39999999944</v>
      </c>
    </row>
    <row r="40" spans="1:8" hidden="1" x14ac:dyDescent="0.2">
      <c r="A40" s="164">
        <f>'FERC Interest Rates'!A80</f>
        <v>43434</v>
      </c>
      <c r="B40" s="162"/>
      <c r="C40" s="162"/>
      <c r="D40" s="146">
        <v>347558.7</v>
      </c>
      <c r="E40" s="162"/>
      <c r="F40" s="146">
        <f t="shared" si="3"/>
        <v>-1791.62</v>
      </c>
      <c r="H40" s="1">
        <f t="shared" si="4"/>
        <v>-93709.319999999425</v>
      </c>
    </row>
    <row r="41" spans="1:8" hidden="1" x14ac:dyDescent="0.2">
      <c r="A41" s="164">
        <f>'FERC Interest Rates'!A81</f>
        <v>43465</v>
      </c>
      <c r="B41" s="162"/>
      <c r="C41" s="162"/>
      <c r="D41" s="146">
        <f>1003283.44+104523.81</f>
        <v>1107807.25</v>
      </c>
      <c r="E41" s="162"/>
      <c r="F41" s="146">
        <f t="shared" si="3"/>
        <v>-394.76</v>
      </c>
      <c r="H41" s="1">
        <f t="shared" si="4"/>
        <v>1013703.1700000006</v>
      </c>
    </row>
    <row r="42" spans="1:8" hidden="1" x14ac:dyDescent="0.2">
      <c r="A42" s="164">
        <f>'FERC Interest Rates'!A82</f>
        <v>43496</v>
      </c>
      <c r="B42" s="162"/>
      <c r="C42" s="162"/>
      <c r="D42" s="146">
        <v>843959.23</v>
      </c>
      <c r="E42" s="162"/>
      <c r="F42" s="146">
        <f t="shared" ref="F42:F51" si="5">ROUND(H41*VLOOKUP(A42,FERCINT19,2)/365*VLOOKUP(A42,FERCINT19,3),2)</f>
        <v>4459.74</v>
      </c>
      <c r="H42" s="1">
        <f t="shared" si="4"/>
        <v>1862122.1400000006</v>
      </c>
    </row>
    <row r="43" spans="1:8" hidden="1" x14ac:dyDescent="0.2">
      <c r="A43" s="164">
        <f>'FERC Interest Rates'!A83</f>
        <v>43524</v>
      </c>
      <c r="B43" s="162"/>
      <c r="C43" s="162"/>
      <c r="D43" s="146">
        <v>-3745264.02</v>
      </c>
      <c r="E43" s="162"/>
      <c r="F43" s="146">
        <f t="shared" si="5"/>
        <v>7399.51</v>
      </c>
      <c r="H43" s="1">
        <f t="shared" si="4"/>
        <v>-1875742.3699999996</v>
      </c>
    </row>
    <row r="44" spans="1:8" hidden="1" x14ac:dyDescent="0.2">
      <c r="A44" s="164">
        <f>'FERC Interest Rates'!A84</f>
        <v>43555</v>
      </c>
      <c r="B44" s="162"/>
      <c r="C44" s="162"/>
      <c r="D44" s="146">
        <v>-1400603.7</v>
      </c>
      <c r="E44" s="162"/>
      <c r="F44" s="146">
        <f t="shared" si="5"/>
        <v>-8252.24</v>
      </c>
      <c r="H44" s="1">
        <f t="shared" si="4"/>
        <v>-3284598.3099999996</v>
      </c>
    </row>
    <row r="45" spans="1:8" hidden="1" x14ac:dyDescent="0.2">
      <c r="A45" s="164">
        <f>'FERC Interest Rates'!A85</f>
        <v>43585</v>
      </c>
      <c r="B45" s="162"/>
      <c r="C45" s="162"/>
      <c r="D45" s="146">
        <v>412427.72</v>
      </c>
      <c r="E45" s="162"/>
      <c r="F45" s="146">
        <f t="shared" si="5"/>
        <v>-14713.2</v>
      </c>
      <c r="H45" s="1">
        <f t="shared" si="4"/>
        <v>-2886883.7899999996</v>
      </c>
    </row>
    <row r="46" spans="1:8" hidden="1" x14ac:dyDescent="0.2">
      <c r="A46" s="164">
        <f>'FERC Interest Rates'!A86</f>
        <v>43616</v>
      </c>
      <c r="B46" s="162"/>
      <c r="C46" s="162"/>
      <c r="D46" s="146">
        <v>-54642.65</v>
      </c>
      <c r="E46" s="162"/>
      <c r="F46" s="146">
        <f t="shared" si="5"/>
        <v>-13362.71</v>
      </c>
      <c r="H46" s="1">
        <f t="shared" si="4"/>
        <v>-2954889.1499999994</v>
      </c>
    </row>
    <row r="47" spans="1:8" hidden="1" x14ac:dyDescent="0.2">
      <c r="A47" s="164">
        <f>'FERC Interest Rates'!A87</f>
        <v>43646</v>
      </c>
      <c r="B47" s="162"/>
      <c r="C47" s="162"/>
      <c r="D47" s="146">
        <v>42807.88</v>
      </c>
      <c r="E47" s="162"/>
      <c r="F47" s="146">
        <f t="shared" si="5"/>
        <v>-13236.28</v>
      </c>
      <c r="H47" s="1">
        <f t="shared" si="4"/>
        <v>-2925317.5499999993</v>
      </c>
    </row>
    <row r="48" spans="1:8" hidden="1" x14ac:dyDescent="0.2">
      <c r="A48" s="164">
        <f>'FERC Interest Rates'!A88</f>
        <v>43677</v>
      </c>
      <c r="B48" s="162"/>
      <c r="C48" s="162"/>
      <c r="D48" s="146">
        <v>-172084.6</v>
      </c>
      <c r="E48" s="162"/>
      <c r="F48" s="146">
        <f t="shared" si="5"/>
        <v>-13664.84</v>
      </c>
      <c r="H48" s="1">
        <f t="shared" si="4"/>
        <v>-3111066.9899999993</v>
      </c>
    </row>
    <row r="49" spans="1:8" hidden="1" x14ac:dyDescent="0.2">
      <c r="A49" s="164">
        <f>'FERC Interest Rates'!A89</f>
        <v>43708</v>
      </c>
      <c r="B49" s="162"/>
      <c r="C49" s="162"/>
      <c r="D49" s="146">
        <v>273699.83</v>
      </c>
      <c r="E49" s="162"/>
      <c r="F49" s="146">
        <f t="shared" si="5"/>
        <v>-14532.52</v>
      </c>
      <c r="H49" s="146">
        <f t="shared" si="4"/>
        <v>-2851899.6799999992</v>
      </c>
    </row>
    <row r="50" spans="1:8" ht="12.75" hidden="1" customHeight="1" x14ac:dyDescent="0.2">
      <c r="A50" s="164">
        <f>'FERC Interest Rates'!A90</f>
        <v>43738</v>
      </c>
      <c r="B50" s="162"/>
      <c r="C50" s="162"/>
      <c r="D50" s="146">
        <f>-346148.83+1255.78</f>
        <v>-344893.05</v>
      </c>
      <c r="E50" s="162"/>
      <c r="F50" s="146">
        <f t="shared" si="5"/>
        <v>-12892.15</v>
      </c>
      <c r="H50" s="1">
        <f t="shared" si="4"/>
        <v>-3209684.8799999994</v>
      </c>
    </row>
    <row r="51" spans="1:8" hidden="1" x14ac:dyDescent="0.2">
      <c r="A51" s="164">
        <f>'FERC Interest Rates'!A91</f>
        <v>43769</v>
      </c>
      <c r="B51" s="162"/>
      <c r="C51" s="162"/>
      <c r="D51" s="146">
        <f>-937908.66-21152.96</f>
        <v>-959061.62</v>
      </c>
      <c r="E51" s="162"/>
      <c r="F51" s="146">
        <f t="shared" si="5"/>
        <v>-14775.1</v>
      </c>
      <c r="H51" s="1">
        <f t="shared" si="4"/>
        <v>-4183521.5999999996</v>
      </c>
    </row>
    <row r="52" spans="1:8" x14ac:dyDescent="0.2">
      <c r="A52" s="524" t="s">
        <v>108</v>
      </c>
      <c r="B52" s="524"/>
      <c r="C52" s="524"/>
      <c r="D52" s="524"/>
      <c r="E52" s="524"/>
      <c r="F52" s="524"/>
      <c r="G52" s="1">
        <v>-1060071.47</v>
      </c>
      <c r="H52" s="1">
        <f t="shared" ref="H52" si="6">+SUM(D52:G52)+H51</f>
        <v>-5243593.0699999994</v>
      </c>
    </row>
    <row r="53" spans="1:8" x14ac:dyDescent="0.2">
      <c r="A53" s="164">
        <f>'FERC Interest Rates'!A92</f>
        <v>43799</v>
      </c>
      <c r="B53" s="162"/>
      <c r="C53" s="162"/>
      <c r="D53" s="146">
        <f>-7744.99-145362.63</f>
        <v>-153107.62</v>
      </c>
      <c r="E53" s="162"/>
      <c r="F53" s="146">
        <f>ROUND(H52*VLOOKUP(A53,FERCINT19,2)/365*VLOOKUP(A53,FERCINT19,3),2)</f>
        <v>-23359.13</v>
      </c>
      <c r="H53" s="1">
        <f>+SUM(D53:G53)+H52</f>
        <v>-5420059.8199999994</v>
      </c>
    </row>
    <row r="54" spans="1:8" x14ac:dyDescent="0.2">
      <c r="A54" s="164">
        <f>'FERC Interest Rates'!A93</f>
        <v>43830</v>
      </c>
      <c r="B54" s="162"/>
      <c r="C54" s="162"/>
      <c r="D54" s="146">
        <v>1034787.49</v>
      </c>
      <c r="E54" s="162"/>
      <c r="F54" s="146">
        <f t="shared" ref="F54" si="7">ROUND(H53*VLOOKUP(A54,FERCINT19,2)/365*VLOOKUP(A54,FERCINT19,3),2)</f>
        <v>-24950.09</v>
      </c>
      <c r="H54" s="1">
        <f t="shared" ref="H54:H77" si="8">+SUM(D54:G54)+H53</f>
        <v>-4410222.419999999</v>
      </c>
    </row>
    <row r="55" spans="1:8" x14ac:dyDescent="0.2">
      <c r="A55" s="164">
        <f>'FERC Interest Rates'!A94</f>
        <v>43861</v>
      </c>
      <c r="B55" s="162"/>
      <c r="C55" s="162"/>
      <c r="D55" s="146">
        <v>500433.38</v>
      </c>
      <c r="E55" s="162"/>
      <c r="F55" s="146">
        <f t="shared" ref="F55:F64" si="9">ROUND(H54*VLOOKUP(A55,FERCINT20,2)/365*VLOOKUP(A55,FERCINT20,3),2)</f>
        <v>-18578.52</v>
      </c>
      <c r="H55" s="1">
        <f t="shared" si="8"/>
        <v>-3928367.5599999991</v>
      </c>
    </row>
    <row r="56" spans="1:8" x14ac:dyDescent="0.2">
      <c r="A56" s="164">
        <f>'FERC Interest Rates'!A95</f>
        <v>43890</v>
      </c>
      <c r="B56" s="162"/>
      <c r="C56" s="162"/>
      <c r="D56" s="146">
        <v>-569740.23</v>
      </c>
      <c r="E56" s="162"/>
      <c r="F56" s="146">
        <f t="shared" si="9"/>
        <v>-15481</v>
      </c>
      <c r="H56" s="1">
        <f t="shared" si="8"/>
        <v>-4513588.7899999991</v>
      </c>
    </row>
    <row r="57" spans="1:8" x14ac:dyDescent="0.2">
      <c r="A57" s="164">
        <f>'FERC Interest Rates'!A96</f>
        <v>43921</v>
      </c>
      <c r="B57" s="162"/>
      <c r="C57" s="162"/>
      <c r="D57" s="146">
        <v>-482236.64</v>
      </c>
      <c r="E57" s="162"/>
      <c r="F57" s="146">
        <f t="shared" si="9"/>
        <v>-19013.96</v>
      </c>
      <c r="H57" s="1">
        <f t="shared" si="8"/>
        <v>-5014839.3899999987</v>
      </c>
    </row>
    <row r="58" spans="1:8" x14ac:dyDescent="0.2">
      <c r="A58" s="164">
        <f>'FERC Interest Rates'!A97</f>
        <v>43951</v>
      </c>
      <c r="B58" s="162"/>
      <c r="C58" s="162"/>
      <c r="D58" s="146">
        <f>37500+981679.98</f>
        <v>1019179.98</v>
      </c>
      <c r="E58" s="162"/>
      <c r="F58" s="146">
        <f t="shared" si="9"/>
        <v>-19578.48</v>
      </c>
      <c r="H58" s="1">
        <f t="shared" si="8"/>
        <v>-4015237.8899999987</v>
      </c>
    </row>
    <row r="59" spans="1:8" x14ac:dyDescent="0.2">
      <c r="A59" s="164">
        <f>'FERC Interest Rates'!A98</f>
        <v>43982</v>
      </c>
      <c r="B59" s="162"/>
      <c r="C59" s="162"/>
      <c r="D59" s="146">
        <v>375263.28</v>
      </c>
      <c r="E59" s="162"/>
      <c r="F59" s="146">
        <f t="shared" si="9"/>
        <v>-16198.46</v>
      </c>
      <c r="H59" s="1">
        <f t="shared" si="8"/>
        <v>-3656173.0699999989</v>
      </c>
    </row>
    <row r="60" spans="1:8" x14ac:dyDescent="0.2">
      <c r="A60" s="164">
        <f>'FERC Interest Rates'!A99</f>
        <v>44012</v>
      </c>
      <c r="B60" s="162"/>
      <c r="C60" s="162"/>
      <c r="D60" s="146">
        <v>182095.13</v>
      </c>
      <c r="E60" s="162"/>
      <c r="F60" s="146">
        <f t="shared" si="9"/>
        <v>-14274.1</v>
      </c>
      <c r="H60" s="1">
        <f t="shared" si="8"/>
        <v>-3488352.0399999991</v>
      </c>
    </row>
    <row r="61" spans="1:8" x14ac:dyDescent="0.2">
      <c r="A61" s="164">
        <f>'FERC Interest Rates'!A100</f>
        <v>44043</v>
      </c>
      <c r="B61" s="162"/>
      <c r="C61" s="162"/>
      <c r="D61" s="146">
        <v>-205920.71</v>
      </c>
      <c r="E61" s="162"/>
      <c r="F61" s="146">
        <f t="shared" si="9"/>
        <v>-10162.1</v>
      </c>
      <c r="H61" s="1">
        <f t="shared" si="8"/>
        <v>-3704434.8499999992</v>
      </c>
    </row>
    <row r="62" spans="1:8" x14ac:dyDescent="0.2">
      <c r="A62" s="164">
        <f>'FERC Interest Rates'!A101</f>
        <v>44074</v>
      </c>
      <c r="B62" s="162"/>
      <c r="C62" s="162"/>
      <c r="D62" s="146">
        <v>-906718.23</v>
      </c>
      <c r="E62" s="162"/>
      <c r="F62" s="146">
        <f t="shared" si="9"/>
        <v>-10791.58</v>
      </c>
      <c r="H62" s="1">
        <f t="shared" si="8"/>
        <v>-4621944.6599999992</v>
      </c>
    </row>
    <row r="63" spans="1:8" x14ac:dyDescent="0.2">
      <c r="A63" s="164">
        <f>'FERC Interest Rates'!A102</f>
        <v>44104</v>
      </c>
      <c r="B63" s="162"/>
      <c r="C63" s="162"/>
      <c r="D63" s="146">
        <f>37500+392761.08</f>
        <v>430261.08</v>
      </c>
      <c r="E63" s="162"/>
      <c r="F63" s="146">
        <f t="shared" si="9"/>
        <v>-13030.09</v>
      </c>
      <c r="H63" s="1">
        <f t="shared" si="8"/>
        <v>-4204713.669999999</v>
      </c>
    </row>
    <row r="64" spans="1:8" x14ac:dyDescent="0.2">
      <c r="A64" s="164">
        <f>'FERC Interest Rates'!A103</f>
        <v>44135</v>
      </c>
      <c r="B64" s="162"/>
      <c r="C64" s="162"/>
      <c r="D64" s="146">
        <v>329062.48</v>
      </c>
      <c r="E64" s="162"/>
      <c r="F64" s="146">
        <f t="shared" si="9"/>
        <v>-11606.16</v>
      </c>
      <c r="H64" s="1">
        <f t="shared" si="8"/>
        <v>-3887257.3499999992</v>
      </c>
    </row>
    <row r="65" spans="1:8" x14ac:dyDescent="0.2">
      <c r="A65" s="524" t="s">
        <v>108</v>
      </c>
      <c r="B65" s="524"/>
      <c r="C65" s="524"/>
      <c r="D65" s="524"/>
      <c r="E65" s="524"/>
      <c r="F65" s="524"/>
      <c r="G65" s="146">
        <v>4569822.54</v>
      </c>
      <c r="H65" s="1">
        <f t="shared" si="8"/>
        <v>682565.19000000088</v>
      </c>
    </row>
    <row r="66" spans="1:8" x14ac:dyDescent="0.2">
      <c r="A66" s="164">
        <f>'FERC Interest Rates'!A104</f>
        <v>44165</v>
      </c>
      <c r="B66" s="162"/>
      <c r="C66" s="162"/>
      <c r="D66" s="146">
        <v>951120.65</v>
      </c>
      <c r="E66" s="162"/>
      <c r="F66" s="146">
        <f>ROUND(H65*VLOOKUP(A66,FERCINT20,2)/365*VLOOKUP(A66,FERCINT20,3),2)</f>
        <v>1823.29</v>
      </c>
      <c r="H66" s="1">
        <f t="shared" si="8"/>
        <v>1635509.1300000008</v>
      </c>
    </row>
    <row r="67" spans="1:8" x14ac:dyDescent="0.2">
      <c r="A67" s="164">
        <f>'FERC Interest Rates'!A105</f>
        <v>44196</v>
      </c>
      <c r="B67" s="162"/>
      <c r="C67" s="162"/>
      <c r="D67" s="146">
        <v>1681193.77</v>
      </c>
      <c r="E67" s="162"/>
      <c r="F67" s="146">
        <f>ROUND(H66*VLOOKUP(A67,FERCINT20,2)/365*VLOOKUP(A67,FERCINT20,3),2)</f>
        <v>4514.45</v>
      </c>
      <c r="H67" s="1">
        <f t="shared" si="8"/>
        <v>3321217.3500000006</v>
      </c>
    </row>
    <row r="68" spans="1:8" x14ac:dyDescent="0.2">
      <c r="A68" s="164">
        <f>'FERC Interest Rates'!A106</f>
        <v>44227</v>
      </c>
      <c r="B68" s="162"/>
      <c r="C68" s="162"/>
      <c r="D68" s="146">
        <v>2111092.09</v>
      </c>
      <c r="E68" s="162"/>
      <c r="F68" s="146">
        <f t="shared" ref="F68:F77" si="10">ROUND(H67*VLOOKUP(A68,FERCINT21,2)/365*VLOOKUP(A68,FERCINT21,3),2)</f>
        <v>9167.4699999999993</v>
      </c>
      <c r="H68" s="1">
        <f t="shared" si="8"/>
        <v>5441476.9100000001</v>
      </c>
    </row>
    <row r="69" spans="1:8" x14ac:dyDescent="0.2">
      <c r="A69" s="164">
        <f>'FERC Interest Rates'!A107</f>
        <v>44255</v>
      </c>
      <c r="B69" s="162"/>
      <c r="C69" s="162"/>
      <c r="D69" s="146">
        <v>-427092.64</v>
      </c>
      <c r="E69" s="162"/>
      <c r="F69" s="146">
        <f t="shared" si="10"/>
        <v>13566.42</v>
      </c>
      <c r="H69" s="1">
        <f t="shared" si="8"/>
        <v>5027950.6900000004</v>
      </c>
    </row>
    <row r="70" spans="1:8" x14ac:dyDescent="0.2">
      <c r="A70" s="164">
        <f>'FERC Interest Rates'!A108</f>
        <v>44286</v>
      </c>
      <c r="B70" s="162"/>
      <c r="C70" s="162"/>
      <c r="D70" s="146">
        <f>37500-199632.77</f>
        <v>-162132.76999999999</v>
      </c>
      <c r="E70" s="162"/>
      <c r="F70" s="146">
        <f t="shared" si="10"/>
        <v>13878.52</v>
      </c>
      <c r="H70" s="1">
        <f t="shared" si="8"/>
        <v>4879696.4400000004</v>
      </c>
    </row>
    <row r="71" spans="1:8" x14ac:dyDescent="0.2">
      <c r="A71" s="164">
        <f>'FERC Interest Rates'!A109</f>
        <v>44316</v>
      </c>
      <c r="B71" s="162"/>
      <c r="C71" s="162"/>
      <c r="D71" s="146">
        <v>962312.97</v>
      </c>
      <c r="E71" s="162"/>
      <c r="F71" s="146">
        <f t="shared" si="10"/>
        <v>13034.81</v>
      </c>
      <c r="H71" s="1">
        <f t="shared" si="8"/>
        <v>5855044.2200000007</v>
      </c>
    </row>
    <row r="72" spans="1:8" x14ac:dyDescent="0.2">
      <c r="A72" s="164">
        <f>'FERC Interest Rates'!A110</f>
        <v>44347</v>
      </c>
      <c r="B72" s="162"/>
      <c r="C72" s="162"/>
      <c r="D72" s="146">
        <v>257692.88</v>
      </c>
      <c r="E72" s="162"/>
      <c r="F72" s="146">
        <f t="shared" si="10"/>
        <v>16161.53</v>
      </c>
      <c r="H72" s="1">
        <f t="shared" si="8"/>
        <v>6128898.6300000008</v>
      </c>
    </row>
    <row r="73" spans="1:8" x14ac:dyDescent="0.2">
      <c r="A73" s="164">
        <f>'FERC Interest Rates'!A111</f>
        <v>44377</v>
      </c>
      <c r="B73" s="162"/>
      <c r="C73" s="162"/>
      <c r="D73" s="146">
        <v>490428.96</v>
      </c>
      <c r="E73" s="162"/>
      <c r="F73" s="146">
        <f t="shared" si="10"/>
        <v>16371.72</v>
      </c>
      <c r="H73" s="1">
        <f t="shared" si="8"/>
        <v>6635699.3100000005</v>
      </c>
    </row>
    <row r="74" spans="1:8" x14ac:dyDescent="0.2">
      <c r="A74" s="164">
        <f>'FERC Interest Rates'!A112</f>
        <v>44408</v>
      </c>
      <c r="B74" s="162"/>
      <c r="C74" s="162"/>
      <c r="D74" s="146">
        <v>-355005.49</v>
      </c>
      <c r="E74" s="162"/>
      <c r="F74" s="146">
        <f t="shared" si="10"/>
        <v>18316.349999999999</v>
      </c>
      <c r="H74" s="1">
        <f t="shared" si="8"/>
        <v>6299010.1700000009</v>
      </c>
    </row>
    <row r="75" spans="1:8" x14ac:dyDescent="0.2">
      <c r="A75" s="164">
        <f>'FERC Interest Rates'!A113</f>
        <v>44439</v>
      </c>
      <c r="B75" s="162"/>
      <c r="C75" s="162"/>
      <c r="D75" s="146">
        <v>264387.98</v>
      </c>
      <c r="E75" s="162"/>
      <c r="F75" s="146">
        <f t="shared" si="10"/>
        <v>17386.990000000002</v>
      </c>
      <c r="H75" s="1">
        <f t="shared" si="8"/>
        <v>6580785.1400000006</v>
      </c>
    </row>
    <row r="76" spans="1:8" x14ac:dyDescent="0.2">
      <c r="A76" s="164">
        <f>'FERC Interest Rates'!A114</f>
        <v>44469</v>
      </c>
      <c r="B76" s="162"/>
      <c r="C76" s="162"/>
      <c r="D76" s="146">
        <v>60005.87</v>
      </c>
      <c r="E76" s="162"/>
      <c r="F76" s="146">
        <f t="shared" si="10"/>
        <v>17578.810000000001</v>
      </c>
      <c r="H76" s="1">
        <f t="shared" si="8"/>
        <v>6658369.8200000003</v>
      </c>
    </row>
    <row r="77" spans="1:8" x14ac:dyDescent="0.2">
      <c r="A77" s="164">
        <f>'FERC Interest Rates'!A115</f>
        <v>44500</v>
      </c>
      <c r="B77" s="162"/>
      <c r="C77" s="162"/>
      <c r="D77" s="146">
        <f>11068.75+291504.32</f>
        <v>302573.07</v>
      </c>
      <c r="E77" s="162"/>
      <c r="F77" s="146">
        <f t="shared" si="10"/>
        <v>18378.919999999998</v>
      </c>
      <c r="H77" s="1">
        <f t="shared" si="8"/>
        <v>6979321.8100000005</v>
      </c>
    </row>
    <row r="78" spans="1:8" x14ac:dyDescent="0.2">
      <c r="A78" s="524" t="s">
        <v>108</v>
      </c>
      <c r="B78" s="524"/>
      <c r="C78" s="524"/>
      <c r="D78" s="524"/>
      <c r="E78" s="524"/>
      <c r="F78" s="524"/>
      <c r="G78" s="146">
        <v>-3412220.59</v>
      </c>
      <c r="H78" s="1">
        <f t="shared" ref="H78:H79" si="11">+SUM(D78:G78)+H77</f>
        <v>3567101.2200000007</v>
      </c>
    </row>
    <row r="79" spans="1:8" x14ac:dyDescent="0.2">
      <c r="A79" s="164">
        <f>'FERC Interest Rates'!A116</f>
        <v>44530</v>
      </c>
      <c r="B79" s="162"/>
      <c r="C79" s="162"/>
      <c r="D79" s="146">
        <v>1239027.97</v>
      </c>
      <c r="E79" s="162"/>
      <c r="F79" s="146">
        <f t="shared" ref="F79" si="12">ROUND(H78*VLOOKUP(A79,FERCINT21,2)/365*VLOOKUP(A79,FERCINT21,3),2)</f>
        <v>9528.56</v>
      </c>
      <c r="H79" s="1">
        <f t="shared" si="11"/>
        <v>4815657.7500000009</v>
      </c>
    </row>
    <row r="80" spans="1:8" x14ac:dyDescent="0.2">
      <c r="A80" s="164">
        <f>'FERC Interest Rates'!A117</f>
        <v>44561</v>
      </c>
      <c r="B80" s="162"/>
      <c r="C80" s="162"/>
      <c r="D80" s="146">
        <v>-663358.15</v>
      </c>
      <c r="E80" s="162"/>
      <c r="F80" s="146">
        <f t="shared" ref="F80" si="13">ROUND(H79*VLOOKUP(A80,FERCINT21,2)/365*VLOOKUP(A80,FERCINT21,3),2)</f>
        <v>13292.53</v>
      </c>
      <c r="H80" s="1">
        <f t="shared" ref="H80:H81" si="14">+SUM(D80:G80)+H79</f>
        <v>4165592.1300000008</v>
      </c>
    </row>
    <row r="81" spans="1:8" x14ac:dyDescent="0.2">
      <c r="A81" s="164">
        <f>'FERC Interest Rates'!A118</f>
        <v>44592</v>
      </c>
      <c r="B81" s="162"/>
      <c r="C81" s="162"/>
      <c r="D81" s="146">
        <v>-787241.44</v>
      </c>
      <c r="E81" s="162"/>
      <c r="F81" s="146">
        <f t="shared" ref="F81:F86" si="15">ROUND(H80*VLOOKUP(A81,FERCINT22,2)/365*VLOOKUP(A81,FERCINT22,3),2)</f>
        <v>11498.18</v>
      </c>
      <c r="H81" s="1">
        <f t="shared" si="14"/>
        <v>3389848.870000001</v>
      </c>
    </row>
    <row r="82" spans="1:8" x14ac:dyDescent="0.2">
      <c r="A82" s="164">
        <f>'FERC Interest Rates'!A119</f>
        <v>44620</v>
      </c>
      <c r="B82" s="162"/>
      <c r="C82" s="162"/>
      <c r="D82" s="146">
        <v>-178974.54</v>
      </c>
      <c r="E82" s="162"/>
      <c r="F82" s="146">
        <f t="shared" si="15"/>
        <v>8451.4</v>
      </c>
      <c r="H82" s="1">
        <f t="shared" ref="H82:H86" si="16">+SUM(D82:G82)+H81</f>
        <v>3219325.7300000009</v>
      </c>
    </row>
    <row r="83" spans="1:8" x14ac:dyDescent="0.2">
      <c r="A83" s="164">
        <f>'FERC Interest Rates'!A120</f>
        <v>44651</v>
      </c>
      <c r="B83" s="162"/>
      <c r="C83" s="162"/>
      <c r="D83" s="146">
        <v>780079.05</v>
      </c>
      <c r="E83" s="162"/>
      <c r="F83" s="146">
        <f t="shared" si="15"/>
        <v>8886.2199999999993</v>
      </c>
      <c r="H83" s="1">
        <f t="shared" si="16"/>
        <v>4008291.0000000009</v>
      </c>
    </row>
    <row r="84" spans="1:8" x14ac:dyDescent="0.2">
      <c r="A84" s="164">
        <f>'FERC Interest Rates'!A121</f>
        <v>44681</v>
      </c>
      <c r="B84" s="162"/>
      <c r="C84" s="162"/>
      <c r="D84" s="146">
        <v>-1323377.1000000001</v>
      </c>
      <c r="E84" s="162"/>
      <c r="F84" s="146">
        <f t="shared" si="15"/>
        <v>10707.08</v>
      </c>
      <c r="H84" s="1">
        <f t="shared" si="16"/>
        <v>2695620.9800000009</v>
      </c>
    </row>
    <row r="85" spans="1:8" x14ac:dyDescent="0.2">
      <c r="A85" s="164">
        <f>'FERC Interest Rates'!A122</f>
        <v>44712</v>
      </c>
      <c r="B85" s="162"/>
      <c r="C85" s="162"/>
      <c r="D85" s="146">
        <f>-597541.85</f>
        <v>-597541.85</v>
      </c>
      <c r="E85" s="162"/>
      <c r="F85" s="146">
        <f t="shared" si="15"/>
        <v>7440.65</v>
      </c>
      <c r="H85" s="1">
        <f t="shared" si="16"/>
        <v>2105519.7800000012</v>
      </c>
    </row>
    <row r="86" spans="1:8" x14ac:dyDescent="0.2">
      <c r="A86" s="164">
        <f>'FERC Interest Rates'!A123</f>
        <v>44742</v>
      </c>
      <c r="B86" s="162"/>
      <c r="C86" s="162"/>
      <c r="D86" s="146">
        <v>35943.75</v>
      </c>
      <c r="E86" s="162"/>
      <c r="F86" s="146">
        <f t="shared" si="15"/>
        <v>5624.33</v>
      </c>
      <c r="H86" s="1">
        <f t="shared" si="16"/>
        <v>2147087.8600000013</v>
      </c>
    </row>
  </sheetData>
  <mergeCells count="21">
    <mergeCell ref="A1:B1"/>
    <mergeCell ref="C1:H1"/>
    <mergeCell ref="A2:B2"/>
    <mergeCell ref="C2:H2"/>
    <mergeCell ref="A3:B3"/>
    <mergeCell ref="C3:H3"/>
    <mergeCell ref="A78:F78"/>
    <mergeCell ref="A4:B4"/>
    <mergeCell ref="C4:H4"/>
    <mergeCell ref="A5:B5"/>
    <mergeCell ref="C5:H5"/>
    <mergeCell ref="A6:B6"/>
    <mergeCell ref="C6:H6"/>
    <mergeCell ref="A65:F65"/>
    <mergeCell ref="C7:H7"/>
    <mergeCell ref="D9:F9"/>
    <mergeCell ref="A11:G11"/>
    <mergeCell ref="A52:F52"/>
    <mergeCell ref="A39:F39"/>
    <mergeCell ref="A26:F26"/>
    <mergeCell ref="A7:B7"/>
  </mergeCells>
  <printOptions horizontalCentered="1"/>
  <pageMargins left="0.5" right="0.25" top="0.5" bottom="0.25" header="0.3" footer="0.3"/>
  <pageSetup scale="89" orientation="portrait" r:id="rId1"/>
  <headerFooter>
    <oddFooter>&amp;L&amp;"-,Bold"&amp;10Cascade Natural Gas Corporation&amp;C&amp;"-,Bold"&amp;10&amp;P of &amp;N&amp;R&amp;"-,Bold"&amp;10Washington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1111115111119"/>
  <dimension ref="A1:H116"/>
  <sheetViews>
    <sheetView showGridLines="0" view="pageBreakPreview" zoomScale="75" zoomScaleNormal="60" zoomScaleSheetLayoutView="75" workbookViewId="0">
      <pane ySplit="10" topLeftCell="A90" activePane="bottomLeft" state="frozen"/>
      <selection activeCell="H129" sqref="H129"/>
      <selection pane="bottomLeft" activeCell="H116" sqref="H116"/>
    </sheetView>
  </sheetViews>
  <sheetFormatPr defaultColWidth="8.88671875" defaultRowHeight="12.75" x14ac:dyDescent="0.2"/>
  <cols>
    <col min="1" max="1" width="10.77734375" style="1" customWidth="1"/>
    <col min="2" max="2" width="8.77734375" style="1" customWidth="1"/>
    <col min="3" max="3" width="10.77734375" style="1" customWidth="1"/>
    <col min="4" max="4" width="9.6640625" style="1" bestFit="1" customWidth="1"/>
    <col min="5" max="5" width="9.77734375" style="1" bestFit="1" customWidth="1"/>
    <col min="6" max="6" width="6.21875" style="1" bestFit="1" customWidth="1"/>
    <col min="7" max="7" width="17" style="1" customWidth="1"/>
    <col min="8" max="8" width="11.21875" style="1" bestFit="1" customWidth="1"/>
    <col min="9" max="16384" width="8.88671875" style="1"/>
  </cols>
  <sheetData>
    <row r="1" spans="1:8" x14ac:dyDescent="0.2">
      <c r="A1" s="548" t="s">
        <v>13</v>
      </c>
      <c r="B1" s="549"/>
      <c r="C1" s="546" t="s">
        <v>14</v>
      </c>
      <c r="D1" s="546"/>
      <c r="E1" s="546"/>
      <c r="F1" s="546"/>
      <c r="G1" s="546"/>
      <c r="H1" s="547"/>
    </row>
    <row r="2" spans="1:8" x14ac:dyDescent="0.2">
      <c r="A2" s="541" t="s">
        <v>16</v>
      </c>
      <c r="B2" s="533"/>
      <c r="C2" s="534" t="s">
        <v>31</v>
      </c>
      <c r="D2" s="534"/>
      <c r="E2" s="534"/>
      <c r="F2" s="534"/>
      <c r="G2" s="534"/>
      <c r="H2" s="538"/>
    </row>
    <row r="3" spans="1:8" x14ac:dyDescent="0.2">
      <c r="A3" s="541" t="s">
        <v>17</v>
      </c>
      <c r="B3" s="533"/>
      <c r="C3" s="534" t="s">
        <v>32</v>
      </c>
      <c r="D3" s="534"/>
      <c r="E3" s="534"/>
      <c r="F3" s="534"/>
      <c r="G3" s="534"/>
      <c r="H3" s="538"/>
    </row>
    <row r="4" spans="1:8" x14ac:dyDescent="0.2">
      <c r="A4" s="541" t="s">
        <v>18</v>
      </c>
      <c r="B4" s="533"/>
      <c r="C4" s="550" t="s">
        <v>44</v>
      </c>
      <c r="D4" s="550"/>
      <c r="E4" s="550"/>
      <c r="F4" s="550"/>
      <c r="G4" s="550"/>
      <c r="H4" s="551"/>
    </row>
    <row r="5" spans="1:8" x14ac:dyDescent="0.2">
      <c r="A5" s="541" t="s">
        <v>20</v>
      </c>
      <c r="B5" s="533"/>
      <c r="C5" s="534" t="s">
        <v>45</v>
      </c>
      <c r="D5" s="534"/>
      <c r="E5" s="534"/>
      <c r="F5" s="534"/>
      <c r="G5" s="534"/>
      <c r="H5" s="538"/>
    </row>
    <row r="6" spans="1:8" x14ac:dyDescent="0.2">
      <c r="A6" s="541" t="s">
        <v>21</v>
      </c>
      <c r="B6" s="533"/>
      <c r="C6" s="534" t="s">
        <v>30</v>
      </c>
      <c r="D6" s="534"/>
      <c r="E6" s="534"/>
      <c r="F6" s="534"/>
      <c r="G6" s="534"/>
      <c r="H6" s="538"/>
    </row>
    <row r="7" spans="1:8" ht="28.5" customHeight="1" thickBot="1" x14ac:dyDescent="0.25">
      <c r="A7" s="542" t="s">
        <v>22</v>
      </c>
      <c r="B7" s="543"/>
      <c r="C7" s="544" t="s">
        <v>46</v>
      </c>
      <c r="D7" s="544"/>
      <c r="E7" s="544"/>
      <c r="F7" s="544"/>
      <c r="G7" s="544"/>
      <c r="H7" s="545"/>
    </row>
    <row r="8" spans="1:8" x14ac:dyDescent="0.2">
      <c r="A8" s="2"/>
      <c r="B8" s="2"/>
      <c r="C8" s="3"/>
      <c r="D8" s="3"/>
      <c r="E8" s="3"/>
      <c r="F8" s="3"/>
      <c r="G8" s="3"/>
      <c r="H8" s="3"/>
    </row>
    <row r="9" spans="1:8" x14ac:dyDescent="0.2">
      <c r="A9" s="4"/>
      <c r="D9" s="529" t="s">
        <v>38</v>
      </c>
      <c r="E9" s="529"/>
      <c r="F9" s="529"/>
    </row>
    <row r="10" spans="1:8" s="5" customFormat="1" ht="25.5" x14ac:dyDescent="0.2">
      <c r="A10" s="5" t="s">
        <v>39</v>
      </c>
      <c r="B10" s="5" t="s">
        <v>4</v>
      </c>
      <c r="C10" s="5" t="s">
        <v>12</v>
      </c>
      <c r="D10" s="5" t="s">
        <v>23</v>
      </c>
      <c r="E10" s="5" t="s">
        <v>24</v>
      </c>
      <c r="F10" s="5" t="s">
        <v>2</v>
      </c>
      <c r="G10" s="5" t="s">
        <v>0</v>
      </c>
      <c r="H10" s="5" t="s">
        <v>1</v>
      </c>
    </row>
    <row r="11" spans="1:8" hidden="1" x14ac:dyDescent="0.2">
      <c r="A11" s="527" t="s">
        <v>80</v>
      </c>
      <c r="B11" s="527"/>
      <c r="C11" s="527"/>
      <c r="D11" s="527"/>
      <c r="E11" s="527"/>
      <c r="F11" s="527"/>
      <c r="G11" s="527"/>
      <c r="H11" s="1">
        <v>1561129.49</v>
      </c>
    </row>
    <row r="12" spans="1:8" hidden="1" x14ac:dyDescent="0.2">
      <c r="A12" s="6">
        <f>'FERC Interest Rates'!A20</f>
        <v>41608</v>
      </c>
      <c r="B12" s="7"/>
      <c r="C12" s="8"/>
      <c r="D12" s="1">
        <v>18496</v>
      </c>
      <c r="H12" s="1">
        <f t="shared" ref="H12:H23" si="0">H11+SUM(D12:G12)</f>
        <v>1579625.49</v>
      </c>
    </row>
    <row r="13" spans="1:8" hidden="1" x14ac:dyDescent="0.2">
      <c r="A13" s="6">
        <f>'FERC Interest Rates'!A21</f>
        <v>41639</v>
      </c>
      <c r="B13" s="7"/>
      <c r="C13" s="8"/>
      <c r="D13" s="1">
        <v>445761.54</v>
      </c>
      <c r="H13" s="1">
        <f t="shared" si="0"/>
        <v>2025387.03</v>
      </c>
    </row>
    <row r="14" spans="1:8" hidden="1" x14ac:dyDescent="0.2">
      <c r="A14" s="6">
        <f>'FERC Interest Rates'!A22</f>
        <v>41670</v>
      </c>
      <c r="B14" s="7"/>
      <c r="C14" s="8"/>
      <c r="D14" s="1">
        <v>132734.78</v>
      </c>
      <c r="H14" s="1">
        <f t="shared" si="0"/>
        <v>2158121.81</v>
      </c>
    </row>
    <row r="15" spans="1:8" hidden="1" x14ac:dyDescent="0.2">
      <c r="A15" s="6">
        <f>'FERC Interest Rates'!A23</f>
        <v>41698</v>
      </c>
      <c r="B15" s="7"/>
      <c r="C15" s="8"/>
      <c r="D15" s="1">
        <v>0</v>
      </c>
      <c r="H15" s="1">
        <f t="shared" si="0"/>
        <v>2158121.81</v>
      </c>
    </row>
    <row r="16" spans="1:8" hidden="1" x14ac:dyDescent="0.2">
      <c r="A16" s="6">
        <f>'FERC Interest Rates'!A24</f>
        <v>41729</v>
      </c>
      <c r="B16" s="7"/>
      <c r="C16" s="8"/>
      <c r="D16" s="1">
        <v>0</v>
      </c>
      <c r="H16" s="1">
        <f t="shared" si="0"/>
        <v>2158121.81</v>
      </c>
    </row>
    <row r="17" spans="1:8" hidden="1" x14ac:dyDescent="0.2">
      <c r="A17" s="6">
        <f>'FERC Interest Rates'!A25</f>
        <v>41759</v>
      </c>
      <c r="B17" s="7"/>
      <c r="C17" s="8"/>
      <c r="D17" s="1">
        <v>164688.67000000001</v>
      </c>
      <c r="H17" s="1">
        <f t="shared" si="0"/>
        <v>2322810.48</v>
      </c>
    </row>
    <row r="18" spans="1:8" hidden="1" x14ac:dyDescent="0.2">
      <c r="A18" s="6">
        <f>'FERC Interest Rates'!A26</f>
        <v>41790</v>
      </c>
      <c r="B18" s="7"/>
      <c r="C18" s="8"/>
      <c r="D18" s="1">
        <v>61067.51</v>
      </c>
      <c r="H18" s="1">
        <f t="shared" si="0"/>
        <v>2383877.9899999998</v>
      </c>
    </row>
    <row r="19" spans="1:8" hidden="1" x14ac:dyDescent="0.2">
      <c r="A19" s="6">
        <f>'FERC Interest Rates'!A27</f>
        <v>41820</v>
      </c>
      <c r="B19" s="7"/>
      <c r="C19" s="8"/>
      <c r="D19" s="1">
        <v>0</v>
      </c>
      <c r="H19" s="1">
        <f t="shared" si="0"/>
        <v>2383877.9899999998</v>
      </c>
    </row>
    <row r="20" spans="1:8" hidden="1" x14ac:dyDescent="0.2">
      <c r="A20" s="6">
        <f>'FERC Interest Rates'!A28</f>
        <v>41851</v>
      </c>
      <c r="B20" s="7"/>
      <c r="C20" s="8"/>
      <c r="D20" s="1">
        <v>0</v>
      </c>
      <c r="H20" s="1">
        <f t="shared" si="0"/>
        <v>2383877.9899999998</v>
      </c>
    </row>
    <row r="21" spans="1:8" hidden="1" x14ac:dyDescent="0.2">
      <c r="A21" s="6">
        <f>'FERC Interest Rates'!A29</f>
        <v>41882</v>
      </c>
      <c r="B21" s="7"/>
      <c r="C21" s="8"/>
      <c r="D21" s="1">
        <v>411216.08</v>
      </c>
      <c r="H21" s="1">
        <f t="shared" si="0"/>
        <v>2795094.07</v>
      </c>
    </row>
    <row r="22" spans="1:8" hidden="1" x14ac:dyDescent="0.2">
      <c r="A22" s="6">
        <f>'FERC Interest Rates'!A30</f>
        <v>41912</v>
      </c>
      <c r="B22" s="7"/>
      <c r="C22" s="8"/>
      <c r="D22" s="1">
        <v>0</v>
      </c>
      <c r="H22" s="1">
        <f t="shared" si="0"/>
        <v>2795094.07</v>
      </c>
    </row>
    <row r="23" spans="1:8" hidden="1" x14ac:dyDescent="0.2">
      <c r="A23" s="6">
        <f>'FERC Interest Rates'!A31</f>
        <v>41943</v>
      </c>
      <c r="B23" s="7"/>
      <c r="C23" s="8"/>
      <c r="D23" s="1">
        <v>0</v>
      </c>
      <c r="H23" s="1">
        <f t="shared" si="0"/>
        <v>2795094.07</v>
      </c>
    </row>
    <row r="24" spans="1:8" hidden="1" x14ac:dyDescent="0.2">
      <c r="A24" s="6"/>
      <c r="B24" s="7"/>
      <c r="C24" s="8"/>
    </row>
    <row r="25" spans="1:8" hidden="1" x14ac:dyDescent="0.2">
      <c r="A25" s="6">
        <f>'FERC Interest Rates'!A32</f>
        <v>41973</v>
      </c>
      <c r="B25" s="7"/>
      <c r="C25" s="8"/>
      <c r="D25" s="1">
        <v>70700.33</v>
      </c>
      <c r="H25" s="1">
        <f>H23+SUM(D25:G25)</f>
        <v>2865794.4</v>
      </c>
    </row>
    <row r="26" spans="1:8" hidden="1" x14ac:dyDescent="0.2">
      <c r="A26" s="6">
        <f>'FERC Interest Rates'!A33</f>
        <v>42004</v>
      </c>
      <c r="B26" s="7"/>
      <c r="C26" s="8"/>
      <c r="D26" s="1">
        <v>375</v>
      </c>
      <c r="H26" s="1">
        <f>H25+SUM(D26:G26)</f>
        <v>2866169.4</v>
      </c>
    </row>
    <row r="27" spans="1:8" hidden="1" x14ac:dyDescent="0.2">
      <c r="A27" s="6">
        <f>'FERC Interest Rates'!A34</f>
        <v>42035</v>
      </c>
      <c r="B27" s="7"/>
      <c r="C27" s="8"/>
      <c r="D27" s="1">
        <v>64785.25</v>
      </c>
      <c r="H27" s="1">
        <f t="shared" ref="H27:H36" si="1">H26+SUM(D27:G27)</f>
        <v>2930954.65</v>
      </c>
    </row>
    <row r="28" spans="1:8" hidden="1" x14ac:dyDescent="0.2">
      <c r="A28" s="6">
        <f>'FERC Interest Rates'!A35</f>
        <v>42063</v>
      </c>
      <c r="B28" s="7"/>
      <c r="C28" s="8"/>
      <c r="D28" s="1">
        <v>0</v>
      </c>
      <c r="H28" s="1">
        <f t="shared" si="1"/>
        <v>2930954.65</v>
      </c>
    </row>
    <row r="29" spans="1:8" hidden="1" x14ac:dyDescent="0.2">
      <c r="A29" s="6">
        <f>'FERC Interest Rates'!A36</f>
        <v>42094</v>
      </c>
      <c r="B29" s="7"/>
      <c r="C29" s="8"/>
      <c r="D29" s="1">
        <v>46236.06</v>
      </c>
      <c r="H29" s="1">
        <f t="shared" si="1"/>
        <v>2977190.71</v>
      </c>
    </row>
    <row r="30" spans="1:8" hidden="1" x14ac:dyDescent="0.2">
      <c r="A30" s="6">
        <f>'FERC Interest Rates'!A37</f>
        <v>42124</v>
      </c>
      <c r="B30" s="7"/>
      <c r="C30" s="8"/>
      <c r="D30" s="1">
        <v>0</v>
      </c>
      <c r="H30" s="1">
        <f t="shared" si="1"/>
        <v>2977190.71</v>
      </c>
    </row>
    <row r="31" spans="1:8" hidden="1" x14ac:dyDescent="0.2">
      <c r="A31" s="6">
        <f>'FERC Interest Rates'!A38</f>
        <v>42155</v>
      </c>
      <c r="B31" s="7"/>
      <c r="C31" s="8"/>
      <c r="D31" s="1">
        <v>95291.22</v>
      </c>
      <c r="H31" s="1">
        <f t="shared" si="1"/>
        <v>3072481.93</v>
      </c>
    </row>
    <row r="32" spans="1:8" hidden="1" x14ac:dyDescent="0.2">
      <c r="A32" s="6">
        <f>'FERC Interest Rates'!A39</f>
        <v>42185</v>
      </c>
      <c r="B32" s="7"/>
      <c r="C32" s="8"/>
      <c r="D32" s="1">
        <v>31332</v>
      </c>
      <c r="H32" s="1">
        <f t="shared" si="1"/>
        <v>3103813.93</v>
      </c>
    </row>
    <row r="33" spans="1:8" hidden="1" x14ac:dyDescent="0.2">
      <c r="A33" s="6">
        <f>'FERC Interest Rates'!A40</f>
        <v>42216</v>
      </c>
      <c r="B33" s="7"/>
      <c r="C33" s="8"/>
      <c r="D33" s="1">
        <v>11728.75</v>
      </c>
      <c r="H33" s="1">
        <f t="shared" si="1"/>
        <v>3115542.68</v>
      </c>
    </row>
    <row r="34" spans="1:8" hidden="1" x14ac:dyDescent="0.2">
      <c r="A34" s="6">
        <f>'FERC Interest Rates'!A41</f>
        <v>42247</v>
      </c>
      <c r="B34" s="7"/>
      <c r="C34" s="8"/>
      <c r="D34" s="1">
        <v>97584.58</v>
      </c>
      <c r="H34" s="1">
        <f t="shared" si="1"/>
        <v>3213127.2600000002</v>
      </c>
    </row>
    <row r="35" spans="1:8" hidden="1" x14ac:dyDescent="0.2">
      <c r="A35" s="6">
        <f>'FERC Interest Rates'!A42</f>
        <v>42277</v>
      </c>
      <c r="B35" s="7"/>
      <c r="C35" s="8"/>
      <c r="D35" s="1">
        <v>10794.14</v>
      </c>
      <c r="H35" s="1">
        <f t="shared" si="1"/>
        <v>3223921.4000000004</v>
      </c>
    </row>
    <row r="36" spans="1:8" hidden="1" x14ac:dyDescent="0.2">
      <c r="A36" s="6">
        <f>'FERC Interest Rates'!A43</f>
        <v>42308</v>
      </c>
      <c r="B36" s="7"/>
      <c r="C36" s="8"/>
      <c r="D36" s="1">
        <v>7169.98</v>
      </c>
      <c r="H36" s="1">
        <f t="shared" si="1"/>
        <v>3231091.3800000004</v>
      </c>
    </row>
    <row r="37" spans="1:8" hidden="1" x14ac:dyDescent="0.2">
      <c r="A37" s="6">
        <f>'FERC Interest Rates'!A44</f>
        <v>42338</v>
      </c>
      <c r="B37" s="7"/>
      <c r="C37" s="8"/>
      <c r="D37" s="1">
        <v>20721.48</v>
      </c>
      <c r="H37" s="1">
        <f t="shared" ref="H37:H49" si="2">H36+SUM(D37:G37)</f>
        <v>3251812.8600000003</v>
      </c>
    </row>
    <row r="38" spans="1:8" hidden="1" x14ac:dyDescent="0.2">
      <c r="A38" s="6">
        <f>'FERC Interest Rates'!A45</f>
        <v>42369</v>
      </c>
      <c r="B38" s="7"/>
      <c r="C38" s="8"/>
      <c r="D38" s="1">
        <v>63879.35</v>
      </c>
      <c r="H38" s="1">
        <f t="shared" si="2"/>
        <v>3315692.2100000004</v>
      </c>
    </row>
    <row r="39" spans="1:8" hidden="1" x14ac:dyDescent="0.2">
      <c r="A39" s="6">
        <f>'FERC Interest Rates'!A46</f>
        <v>42400</v>
      </c>
      <c r="B39" s="7"/>
      <c r="C39" s="8"/>
      <c r="D39" s="1">
        <v>50825.77</v>
      </c>
      <c r="H39" s="1">
        <f t="shared" si="2"/>
        <v>3366517.9800000004</v>
      </c>
    </row>
    <row r="40" spans="1:8" hidden="1" x14ac:dyDescent="0.2">
      <c r="A40" s="6">
        <f>'FERC Interest Rates'!A47</f>
        <v>42429</v>
      </c>
      <c r="B40" s="7"/>
      <c r="C40" s="8"/>
      <c r="D40" s="1">
        <v>1291.75</v>
      </c>
      <c r="H40" s="1">
        <f t="shared" si="2"/>
        <v>3367809.7300000004</v>
      </c>
    </row>
    <row r="41" spans="1:8" hidden="1" x14ac:dyDescent="0.2">
      <c r="A41" s="6">
        <f>'FERC Interest Rates'!A48</f>
        <v>42460</v>
      </c>
      <c r="B41" s="7"/>
      <c r="C41" s="8"/>
      <c r="D41" s="1">
        <v>42972.18</v>
      </c>
      <c r="H41" s="1">
        <f t="shared" si="2"/>
        <v>3410781.9100000006</v>
      </c>
    </row>
    <row r="42" spans="1:8" hidden="1" x14ac:dyDescent="0.2">
      <c r="A42" s="6">
        <f>'FERC Interest Rates'!A49</f>
        <v>42490</v>
      </c>
      <c r="B42" s="7"/>
      <c r="C42" s="8"/>
      <c r="D42" s="1">
        <v>26863.82</v>
      </c>
      <c r="H42" s="1">
        <f t="shared" si="2"/>
        <v>3437645.7300000004</v>
      </c>
    </row>
    <row r="43" spans="1:8" hidden="1" x14ac:dyDescent="0.2">
      <c r="A43" s="6">
        <f>'FERC Interest Rates'!A50</f>
        <v>42521</v>
      </c>
      <c r="B43" s="7"/>
      <c r="C43" s="8"/>
      <c r="D43" s="1">
        <v>55065.13</v>
      </c>
      <c r="H43" s="1">
        <f t="shared" si="2"/>
        <v>3492710.8600000003</v>
      </c>
    </row>
    <row r="44" spans="1:8" hidden="1" x14ac:dyDescent="0.2">
      <c r="A44" s="6">
        <f>'FERC Interest Rates'!A51</f>
        <v>42551</v>
      </c>
      <c r="B44" s="7"/>
      <c r="C44" s="8"/>
      <c r="D44" s="1">
        <v>-284137.8</v>
      </c>
      <c r="H44" s="1">
        <f t="shared" si="2"/>
        <v>3208573.0600000005</v>
      </c>
    </row>
    <row r="45" spans="1:8" hidden="1" x14ac:dyDescent="0.2">
      <c r="A45" s="6">
        <f>'FERC Interest Rates'!A52</f>
        <v>42582</v>
      </c>
      <c r="B45" s="7"/>
      <c r="C45" s="8"/>
      <c r="D45" s="1">
        <v>-101619.41</v>
      </c>
      <c r="H45" s="1">
        <f t="shared" si="2"/>
        <v>3106953.6500000004</v>
      </c>
    </row>
    <row r="46" spans="1:8" hidden="1" x14ac:dyDescent="0.2">
      <c r="A46" s="6">
        <f>'FERC Interest Rates'!A53</f>
        <v>42613</v>
      </c>
      <c r="B46" s="7"/>
      <c r="C46" s="8"/>
      <c r="D46" s="1">
        <v>94859</v>
      </c>
      <c r="H46" s="1">
        <f t="shared" si="2"/>
        <v>3201812.6500000004</v>
      </c>
    </row>
    <row r="47" spans="1:8" hidden="1" x14ac:dyDescent="0.2">
      <c r="A47" s="6">
        <f>'FERC Interest Rates'!A54</f>
        <v>42643</v>
      </c>
      <c r="B47" s="7"/>
      <c r="C47" s="8"/>
      <c r="D47" s="1">
        <v>63322.83</v>
      </c>
      <c r="H47" s="1">
        <f t="shared" si="2"/>
        <v>3265135.4800000004</v>
      </c>
    </row>
    <row r="48" spans="1:8" hidden="1" x14ac:dyDescent="0.2">
      <c r="A48" s="6">
        <f>'FERC Interest Rates'!A55</f>
        <v>42674</v>
      </c>
      <c r="B48" s="7"/>
      <c r="C48" s="8"/>
      <c r="D48" s="1">
        <v>37300.550000000003</v>
      </c>
      <c r="H48" s="1">
        <f t="shared" si="2"/>
        <v>3302436.0300000003</v>
      </c>
    </row>
    <row r="49" spans="1:8" hidden="1" x14ac:dyDescent="0.2">
      <c r="A49" s="6">
        <f>'FERC Interest Rates'!A56</f>
        <v>42704</v>
      </c>
      <c r="B49" s="7"/>
      <c r="C49" s="8"/>
      <c r="D49" s="1">
        <v>52672.08</v>
      </c>
      <c r="H49" s="1">
        <f t="shared" si="2"/>
        <v>3355108.1100000003</v>
      </c>
    </row>
    <row r="50" spans="1:8" hidden="1" x14ac:dyDescent="0.2">
      <c r="A50" s="6">
        <f>'FERC Interest Rates'!A57</f>
        <v>42735</v>
      </c>
      <c r="B50" s="7"/>
      <c r="C50" s="8"/>
      <c r="D50" s="1">
        <v>19398.919999999998</v>
      </c>
      <c r="H50" s="1">
        <f t="shared" ref="H50" si="3">H49+SUM(D50:G50)</f>
        <v>3374507.0300000003</v>
      </c>
    </row>
    <row r="51" spans="1:8" hidden="1" x14ac:dyDescent="0.2">
      <c r="A51" s="6">
        <f>'FERC Interest Rates'!A58</f>
        <v>42766</v>
      </c>
      <c r="B51" s="7"/>
      <c r="C51" s="8"/>
      <c r="D51" s="1">
        <v>34540.6</v>
      </c>
      <c r="H51" s="1">
        <f t="shared" ref="H51:H83" si="4">H50+SUM(D51:G51)</f>
        <v>3409047.6300000004</v>
      </c>
    </row>
    <row r="52" spans="1:8" hidden="1" x14ac:dyDescent="0.2">
      <c r="A52" s="6">
        <f>'FERC Interest Rates'!A59</f>
        <v>42794</v>
      </c>
      <c r="B52" s="7"/>
      <c r="C52" s="8"/>
      <c r="D52" s="1">
        <v>-418947.67</v>
      </c>
      <c r="H52" s="1">
        <f t="shared" si="4"/>
        <v>2990099.9600000004</v>
      </c>
    </row>
    <row r="53" spans="1:8" hidden="1" x14ac:dyDescent="0.2">
      <c r="A53" s="6">
        <f>'FERC Interest Rates'!A60</f>
        <v>42825</v>
      </c>
      <c r="B53" s="7"/>
      <c r="C53" s="8"/>
      <c r="D53" s="1">
        <v>60038.36</v>
      </c>
      <c r="H53" s="1">
        <f t="shared" si="4"/>
        <v>3050138.3200000003</v>
      </c>
    </row>
    <row r="54" spans="1:8" hidden="1" x14ac:dyDescent="0.2">
      <c r="A54" s="6">
        <f>'FERC Interest Rates'!A61</f>
        <v>42855</v>
      </c>
      <c r="B54" s="7"/>
      <c r="C54" s="8"/>
      <c r="D54" s="1">
        <v>-510619.67</v>
      </c>
      <c r="H54" s="1">
        <f t="shared" si="4"/>
        <v>2539518.6500000004</v>
      </c>
    </row>
    <row r="55" spans="1:8" hidden="1" x14ac:dyDescent="0.2">
      <c r="A55" s="6">
        <f>'FERC Interest Rates'!A62</f>
        <v>42886</v>
      </c>
      <c r="B55" s="7"/>
      <c r="C55" s="8"/>
      <c r="D55" s="1">
        <v>-82959.19</v>
      </c>
      <c r="H55" s="1">
        <f t="shared" si="4"/>
        <v>2456559.4600000004</v>
      </c>
    </row>
    <row r="56" spans="1:8" hidden="1" x14ac:dyDescent="0.2">
      <c r="A56" s="6">
        <f>'FERC Interest Rates'!A63</f>
        <v>42916</v>
      </c>
      <c r="B56" s="7"/>
      <c r="C56" s="8"/>
      <c r="D56" s="1">
        <v>17313.11</v>
      </c>
      <c r="H56" s="1">
        <f t="shared" si="4"/>
        <v>2473872.5700000003</v>
      </c>
    </row>
    <row r="57" spans="1:8" hidden="1" x14ac:dyDescent="0.2">
      <c r="A57" s="6">
        <f>'FERC Interest Rates'!A64</f>
        <v>42947</v>
      </c>
      <c r="B57" s="7"/>
      <c r="C57" s="8"/>
      <c r="D57" s="1">
        <v>154607.78</v>
      </c>
      <c r="H57" s="1">
        <f t="shared" si="4"/>
        <v>2628480.35</v>
      </c>
    </row>
    <row r="58" spans="1:8" hidden="1" x14ac:dyDescent="0.2">
      <c r="A58" s="6">
        <f>'FERC Interest Rates'!A65</f>
        <v>42978</v>
      </c>
      <c r="B58" s="7"/>
      <c r="C58" s="8"/>
      <c r="D58" s="1">
        <v>81561.8</v>
      </c>
      <c r="H58" s="1">
        <f t="shared" si="4"/>
        <v>2710042.15</v>
      </c>
    </row>
    <row r="59" spans="1:8" hidden="1" x14ac:dyDescent="0.2">
      <c r="A59" s="6">
        <f>'FERC Interest Rates'!A66</f>
        <v>43008</v>
      </c>
      <c r="B59" s="7"/>
      <c r="C59" s="8"/>
      <c r="D59" s="1">
        <v>204939.67</v>
      </c>
      <c r="H59" s="1">
        <f t="shared" si="4"/>
        <v>2914981.82</v>
      </c>
    </row>
    <row r="60" spans="1:8" hidden="1" x14ac:dyDescent="0.2">
      <c r="A60" s="6">
        <f>'FERC Interest Rates'!A67</f>
        <v>43039</v>
      </c>
      <c r="B60" s="7"/>
      <c r="C60" s="8"/>
      <c r="D60" s="1">
        <v>657073.1</v>
      </c>
      <c r="H60" s="1">
        <f t="shared" si="4"/>
        <v>3572054.92</v>
      </c>
    </row>
    <row r="61" spans="1:8" hidden="1" x14ac:dyDescent="0.2">
      <c r="A61" s="6">
        <f>'FERC Interest Rates'!A68</f>
        <v>43069</v>
      </c>
      <c r="B61" s="7"/>
      <c r="C61" s="8"/>
      <c r="D61" s="1">
        <v>126911.39</v>
      </c>
      <c r="H61" s="1">
        <f t="shared" si="4"/>
        <v>3698966.31</v>
      </c>
    </row>
    <row r="62" spans="1:8" hidden="1" x14ac:dyDescent="0.2">
      <c r="A62" s="6">
        <f>'FERC Interest Rates'!A69</f>
        <v>43100</v>
      </c>
      <c r="B62" s="7"/>
      <c r="C62" s="8"/>
      <c r="D62" s="1">
        <v>231337.86</v>
      </c>
      <c r="H62" s="1">
        <f t="shared" si="4"/>
        <v>3930304.17</v>
      </c>
    </row>
    <row r="63" spans="1:8" hidden="1" x14ac:dyDescent="0.2">
      <c r="A63" s="6">
        <f>'FERC Interest Rates'!A70</f>
        <v>43131</v>
      </c>
      <c r="B63" s="7"/>
      <c r="C63" s="8"/>
      <c r="D63" s="1">
        <f>3344.38-11535.01</f>
        <v>-8190.63</v>
      </c>
      <c r="H63" s="1">
        <f t="shared" si="4"/>
        <v>3922113.54</v>
      </c>
    </row>
    <row r="64" spans="1:8" hidden="1" x14ac:dyDescent="0.2">
      <c r="A64" s="6">
        <f>'FERC Interest Rates'!A71</f>
        <v>43159</v>
      </c>
      <c r="B64" s="7"/>
      <c r="C64" s="8"/>
      <c r="D64" s="1">
        <f>99819.67+3034.6-27553.77</f>
        <v>75300.5</v>
      </c>
      <c r="H64" s="1">
        <f t="shared" si="4"/>
        <v>3997414.04</v>
      </c>
    </row>
    <row r="65" spans="1:8" hidden="1" x14ac:dyDescent="0.2">
      <c r="A65" s="6">
        <f>'FERC Interest Rates'!A72</f>
        <v>43190</v>
      </c>
      <c r="B65" s="7"/>
      <c r="C65" s="8"/>
      <c r="D65" s="1">
        <f>17015.64-91926.63</f>
        <v>-74910.990000000005</v>
      </c>
      <c r="H65" s="1">
        <f t="shared" si="4"/>
        <v>3922503.05</v>
      </c>
    </row>
    <row r="66" spans="1:8" hidden="1" x14ac:dyDescent="0.2">
      <c r="A66" s="6">
        <f>'FERC Interest Rates'!A73</f>
        <v>43220</v>
      </c>
      <c r="B66" s="7"/>
      <c r="C66" s="8"/>
      <c r="D66" s="1">
        <f>28467.42+185683.64</f>
        <v>214151.06</v>
      </c>
      <c r="H66" s="1">
        <f t="shared" si="4"/>
        <v>4136654.11</v>
      </c>
    </row>
    <row r="67" spans="1:8" hidden="1" x14ac:dyDescent="0.2">
      <c r="A67" s="6">
        <f>'FERC Interest Rates'!A74</f>
        <v>43251</v>
      </c>
      <c r="B67" s="7"/>
      <c r="C67" s="8"/>
      <c r="D67" s="1">
        <f>-93154.26+86445.4</f>
        <v>-6708.8600000000006</v>
      </c>
      <c r="H67" s="1">
        <f t="shared" si="4"/>
        <v>4129945.25</v>
      </c>
    </row>
    <row r="68" spans="1:8" hidden="1" x14ac:dyDescent="0.2">
      <c r="A68" s="6">
        <f>'FERC Interest Rates'!A75</f>
        <v>43281</v>
      </c>
      <c r="B68" s="7"/>
      <c r="C68" s="8"/>
      <c r="D68" s="1">
        <f>0+109220.73</f>
        <v>109220.73</v>
      </c>
      <c r="H68" s="1">
        <f t="shared" si="4"/>
        <v>4239165.9800000004</v>
      </c>
    </row>
    <row r="69" spans="1:8" hidden="1" x14ac:dyDescent="0.2">
      <c r="A69" s="6">
        <f>'FERC Interest Rates'!A76</f>
        <v>43312</v>
      </c>
      <c r="B69" s="7"/>
      <c r="C69" s="8"/>
      <c r="D69" s="1">
        <f>3364.79+96680.36</f>
        <v>100045.15</v>
      </c>
      <c r="H69" s="1">
        <f t="shared" si="4"/>
        <v>4339211.1300000008</v>
      </c>
    </row>
    <row r="70" spans="1:8" hidden="1" x14ac:dyDescent="0.2">
      <c r="A70" s="6">
        <f>'FERC Interest Rates'!A77</f>
        <v>43343</v>
      </c>
      <c r="B70" s="7"/>
      <c r="C70" s="8"/>
      <c r="D70" s="1">
        <f>-645469.82+419388.57-13030.01</f>
        <v>-239111.25999999995</v>
      </c>
      <c r="H70" s="1">
        <f t="shared" si="4"/>
        <v>4100099.870000001</v>
      </c>
    </row>
    <row r="71" spans="1:8" hidden="1" x14ac:dyDescent="0.2">
      <c r="A71" s="6">
        <f>'FERC Interest Rates'!A78</f>
        <v>43373</v>
      </c>
      <c r="B71" s="7"/>
      <c r="C71" s="8"/>
      <c r="D71" s="1">
        <f>7786.5+93292.97</f>
        <v>101079.47</v>
      </c>
      <c r="H71" s="1">
        <f t="shared" si="4"/>
        <v>4201179.3400000008</v>
      </c>
    </row>
    <row r="72" spans="1:8" hidden="1" x14ac:dyDescent="0.2">
      <c r="A72" s="6">
        <f>'FERC Interest Rates'!A79</f>
        <v>43404</v>
      </c>
      <c r="B72" s="7"/>
      <c r="C72" s="8"/>
      <c r="D72" s="1">
        <f>-1442976.8+90606.51</f>
        <v>-1352370.29</v>
      </c>
      <c r="H72" s="1">
        <f t="shared" si="4"/>
        <v>2848809.0500000007</v>
      </c>
    </row>
    <row r="73" spans="1:8" hidden="1" x14ac:dyDescent="0.2">
      <c r="A73" s="6">
        <f>'FERC Interest Rates'!A80</f>
        <v>43434</v>
      </c>
      <c r="B73" s="172"/>
      <c r="C73" s="173"/>
      <c r="D73" s="1">
        <f>22093.5+131857.04</f>
        <v>153950.54</v>
      </c>
      <c r="H73" s="1">
        <f t="shared" si="4"/>
        <v>3002759.5900000008</v>
      </c>
    </row>
    <row r="74" spans="1:8" hidden="1" x14ac:dyDescent="0.2">
      <c r="A74" s="6">
        <f>'FERC Interest Rates'!A81</f>
        <v>43465</v>
      </c>
      <c r="B74" s="172"/>
      <c r="C74" s="173"/>
      <c r="D74" s="1">
        <f>0+160623.6</f>
        <v>160623.6</v>
      </c>
      <c r="H74" s="1">
        <f t="shared" si="4"/>
        <v>3163383.1900000009</v>
      </c>
    </row>
    <row r="75" spans="1:8" hidden="1" x14ac:dyDescent="0.2">
      <c r="A75" s="6">
        <f>'FERC Interest Rates'!A82</f>
        <v>43496</v>
      </c>
      <c r="B75" s="172"/>
      <c r="C75" s="173"/>
      <c r="D75" s="1">
        <f>31633.52+13740.18</f>
        <v>45373.7</v>
      </c>
      <c r="E75" s="162"/>
      <c r="F75" s="162"/>
      <c r="H75" s="1">
        <f t="shared" si="4"/>
        <v>3208756.8900000011</v>
      </c>
    </row>
    <row r="76" spans="1:8" hidden="1" x14ac:dyDescent="0.2">
      <c r="A76" s="6">
        <f>'FERC Interest Rates'!A83</f>
        <v>43524</v>
      </c>
      <c r="B76" s="172"/>
      <c r="C76" s="173"/>
      <c r="D76" s="1">
        <f>2666+68480.25</f>
        <v>71146.25</v>
      </c>
      <c r="E76" s="162"/>
      <c r="F76" s="162"/>
      <c r="H76" s="1">
        <f t="shared" si="4"/>
        <v>3279903.1400000011</v>
      </c>
    </row>
    <row r="77" spans="1:8" hidden="1" x14ac:dyDescent="0.2">
      <c r="A77" s="6">
        <f>'FERC Interest Rates'!A84</f>
        <v>43555</v>
      </c>
      <c r="B77" s="172"/>
      <c r="C77" s="173"/>
      <c r="D77" s="1">
        <f>-13614.21+113826.91</f>
        <v>100212.70000000001</v>
      </c>
      <c r="E77" s="162"/>
      <c r="F77" s="162"/>
      <c r="H77" s="1">
        <f t="shared" si="4"/>
        <v>3380115.8400000012</v>
      </c>
    </row>
    <row r="78" spans="1:8" hidden="1" x14ac:dyDescent="0.2">
      <c r="A78" s="6">
        <f>'FERC Interest Rates'!A85</f>
        <v>43585</v>
      </c>
      <c r="B78" s="172"/>
      <c r="C78" s="173"/>
      <c r="D78" s="1">
        <f>-961179.55+158775.15</f>
        <v>-802404.4</v>
      </c>
      <c r="E78" s="162"/>
      <c r="F78" s="162"/>
      <c r="H78" s="1">
        <f t="shared" si="4"/>
        <v>2577711.4400000013</v>
      </c>
    </row>
    <row r="79" spans="1:8" hidden="1" x14ac:dyDescent="0.2">
      <c r="A79" s="6">
        <f>'FERC Interest Rates'!A86</f>
        <v>43616</v>
      </c>
      <c r="B79" s="172"/>
      <c r="C79" s="173"/>
      <c r="D79" s="1">
        <f>25854.5+60019.84</f>
        <v>85874.34</v>
      </c>
      <c r="E79" s="162"/>
      <c r="F79" s="162"/>
      <c r="H79" s="1">
        <f t="shared" si="4"/>
        <v>2663585.7800000012</v>
      </c>
    </row>
    <row r="80" spans="1:8" hidden="1" x14ac:dyDescent="0.2">
      <c r="A80" s="6">
        <f>'FERC Interest Rates'!A87</f>
        <v>43646</v>
      </c>
      <c r="B80" s="172"/>
      <c r="C80" s="173"/>
      <c r="D80" s="1">
        <f>6497.64+54057.75</f>
        <v>60555.39</v>
      </c>
      <c r="E80" s="162"/>
      <c r="F80" s="162"/>
      <c r="H80" s="1">
        <f t="shared" si="4"/>
        <v>2724141.1700000013</v>
      </c>
    </row>
    <row r="81" spans="1:8" hidden="1" x14ac:dyDescent="0.2">
      <c r="A81" s="6">
        <f>'FERC Interest Rates'!A88</f>
        <v>43677</v>
      </c>
      <c r="B81" s="172"/>
      <c r="C81" s="173"/>
      <c r="D81" s="1">
        <f>1425+60019.78</f>
        <v>61444.78</v>
      </c>
      <c r="E81" s="162"/>
      <c r="F81" s="162"/>
      <c r="H81" s="1">
        <f t="shared" si="4"/>
        <v>2785585.9500000011</v>
      </c>
    </row>
    <row r="82" spans="1:8" hidden="1" x14ac:dyDescent="0.2">
      <c r="A82" s="6">
        <f>'FERC Interest Rates'!A89</f>
        <v>43708</v>
      </c>
      <c r="B82" s="172"/>
      <c r="C82" s="173"/>
      <c r="D82" s="1">
        <f>-368607.71+84650</f>
        <v>-283957.71000000002</v>
      </c>
      <c r="E82" s="162"/>
      <c r="F82" s="162"/>
      <c r="H82" s="1">
        <f t="shared" si="4"/>
        <v>2501628.2400000012</v>
      </c>
    </row>
    <row r="83" spans="1:8" hidden="1" x14ac:dyDescent="0.2">
      <c r="A83" s="6">
        <f>'FERC Interest Rates'!A90</f>
        <v>43738</v>
      </c>
      <c r="B83" s="172"/>
      <c r="C83" s="173"/>
      <c r="D83" s="1">
        <f>6981.38+113142.1</f>
        <v>120123.48000000001</v>
      </c>
      <c r="E83" s="162"/>
      <c r="F83" s="162"/>
      <c r="H83" s="1">
        <f t="shared" si="4"/>
        <v>2621751.7200000011</v>
      </c>
    </row>
    <row r="84" spans="1:8" hidden="1" x14ac:dyDescent="0.2">
      <c r="A84" s="6">
        <f>'FERC Interest Rates'!A91</f>
        <v>43769</v>
      </c>
      <c r="B84" s="172"/>
      <c r="C84" s="173"/>
      <c r="D84" s="1">
        <f>3066+207845.78</f>
        <v>210911.78</v>
      </c>
      <c r="E84" s="162"/>
      <c r="F84" s="162"/>
      <c r="H84" s="1">
        <f t="shared" ref="H84:H108" si="5">H83+SUM(D84:G84)</f>
        <v>2832663.5000000009</v>
      </c>
    </row>
    <row r="85" spans="1:8" hidden="1" x14ac:dyDescent="0.2">
      <c r="A85" s="6">
        <f>'FERC Interest Rates'!A92</f>
        <v>43799</v>
      </c>
      <c r="B85" s="172"/>
      <c r="C85" s="173"/>
      <c r="D85" s="1">
        <f>148.87+72175.65</f>
        <v>72324.51999999999</v>
      </c>
      <c r="E85" s="162"/>
      <c r="F85" s="162"/>
      <c r="H85" s="1">
        <f t="shared" si="5"/>
        <v>2904988.0200000009</v>
      </c>
    </row>
    <row r="86" spans="1:8" hidden="1" x14ac:dyDescent="0.2">
      <c r="A86" s="6">
        <f>'FERC Interest Rates'!A93</f>
        <v>43830</v>
      </c>
      <c r="B86" s="172"/>
      <c r="C86" s="173"/>
      <c r="D86" s="1">
        <f>-261243.84+278037.29</f>
        <v>16793.449999999983</v>
      </c>
      <c r="E86" s="162"/>
      <c r="F86" s="162"/>
      <c r="H86" s="1">
        <f t="shared" si="5"/>
        <v>2921781.4700000011</v>
      </c>
    </row>
    <row r="87" spans="1:8" x14ac:dyDescent="0.2">
      <c r="A87" s="6">
        <f>'FERC Interest Rates'!A94</f>
        <v>43861</v>
      </c>
      <c r="B87" s="172"/>
      <c r="C87" s="173"/>
      <c r="D87" s="1">
        <f>4729.43+34871.17</f>
        <v>39600.6</v>
      </c>
      <c r="E87" s="162"/>
      <c r="F87" s="162"/>
      <c r="H87" s="1">
        <f t="shared" si="5"/>
        <v>2961382.0700000012</v>
      </c>
    </row>
    <row r="88" spans="1:8" x14ac:dyDescent="0.2">
      <c r="A88" s="6">
        <f>'FERC Interest Rates'!A95</f>
        <v>43890</v>
      </c>
      <c r="B88" s="172"/>
      <c r="C88" s="173"/>
      <c r="D88" s="1">
        <f>2099+48978.34</f>
        <v>51077.34</v>
      </c>
      <c r="E88" s="162"/>
      <c r="F88" s="162"/>
      <c r="H88" s="1">
        <f t="shared" si="5"/>
        <v>3012459.4100000011</v>
      </c>
    </row>
    <row r="89" spans="1:8" x14ac:dyDescent="0.2">
      <c r="A89" s="6">
        <f>'FERC Interest Rates'!A96</f>
        <v>43921</v>
      </c>
      <c r="B89" s="172"/>
      <c r="C89" s="173"/>
      <c r="D89" s="1">
        <f>4566+79044.09</f>
        <v>83610.09</v>
      </c>
      <c r="E89" s="162"/>
      <c r="F89" s="162"/>
      <c r="H89" s="1">
        <f t="shared" si="5"/>
        <v>3096069.5000000009</v>
      </c>
    </row>
    <row r="90" spans="1:8" x14ac:dyDescent="0.2">
      <c r="A90" s="6">
        <f>'FERC Interest Rates'!A97</f>
        <v>43951</v>
      </c>
      <c r="B90" s="172"/>
      <c r="C90" s="173"/>
      <c r="D90" s="1">
        <f>10196.22+107566.5</f>
        <v>117762.72</v>
      </c>
      <c r="E90" s="162"/>
      <c r="F90" s="162"/>
      <c r="H90" s="1">
        <f t="shared" si="5"/>
        <v>3213832.2200000011</v>
      </c>
    </row>
    <row r="91" spans="1:8" x14ac:dyDescent="0.2">
      <c r="A91" s="6">
        <f>'FERC Interest Rates'!A98</f>
        <v>43982</v>
      </c>
      <c r="B91" s="172"/>
      <c r="C91" s="173"/>
      <c r="D91" s="1">
        <f>-362309.57+116238.89</f>
        <v>-246070.68</v>
      </c>
      <c r="E91" s="162"/>
      <c r="F91" s="162"/>
      <c r="H91" s="1">
        <f t="shared" si="5"/>
        <v>2967761.540000001</v>
      </c>
    </row>
    <row r="92" spans="1:8" x14ac:dyDescent="0.2">
      <c r="A92" s="6">
        <f>'FERC Interest Rates'!A99</f>
        <v>44012</v>
      </c>
      <c r="B92" s="172"/>
      <c r="C92" s="173"/>
      <c r="D92" s="1">
        <f>-521052.64+188249.79</f>
        <v>-332802.84999999998</v>
      </c>
      <c r="E92" s="162"/>
      <c r="F92" s="162"/>
      <c r="H92" s="1">
        <f t="shared" si="5"/>
        <v>2634958.6900000009</v>
      </c>
    </row>
    <row r="93" spans="1:8" x14ac:dyDescent="0.2">
      <c r="A93" s="6">
        <f>'FERC Interest Rates'!A100</f>
        <v>44043</v>
      </c>
      <c r="B93" s="172"/>
      <c r="C93" s="173"/>
      <c r="D93" s="1">
        <f>6445.43+130946.34</f>
        <v>137391.76999999999</v>
      </c>
      <c r="E93" s="162"/>
      <c r="F93" s="162"/>
      <c r="H93" s="1">
        <f t="shared" si="5"/>
        <v>2772350.4600000009</v>
      </c>
    </row>
    <row r="94" spans="1:8" x14ac:dyDescent="0.2">
      <c r="A94" s="6">
        <f>'FERC Interest Rates'!A101</f>
        <v>44074</v>
      </c>
      <c r="B94" s="172"/>
      <c r="C94" s="173"/>
      <c r="D94" s="1">
        <f>3264+261568.62</f>
        <v>264832.62</v>
      </c>
      <c r="E94" s="162"/>
      <c r="F94" s="162"/>
      <c r="H94" s="1">
        <f t="shared" si="5"/>
        <v>3037183.080000001</v>
      </c>
    </row>
    <row r="95" spans="1:8" x14ac:dyDescent="0.2">
      <c r="A95" s="6">
        <f>'FERC Interest Rates'!A102</f>
        <v>44104</v>
      </c>
      <c r="B95" s="172"/>
      <c r="C95" s="173"/>
      <c r="D95" s="1">
        <f>6838+84821.75</f>
        <v>91659.75</v>
      </c>
      <c r="E95" s="162"/>
      <c r="F95" s="162"/>
      <c r="H95" s="1">
        <f t="shared" si="5"/>
        <v>3128842.830000001</v>
      </c>
    </row>
    <row r="96" spans="1:8" x14ac:dyDescent="0.2">
      <c r="A96" s="6">
        <f>'FERC Interest Rates'!A103</f>
        <v>44135</v>
      </c>
      <c r="B96" s="172"/>
      <c r="C96" s="173"/>
      <c r="D96" s="1">
        <f>39774.63+64964.41</f>
        <v>104739.04000000001</v>
      </c>
      <c r="E96" s="162"/>
      <c r="F96" s="162"/>
      <c r="H96" s="1">
        <f t="shared" si="5"/>
        <v>3233581.870000001</v>
      </c>
    </row>
    <row r="97" spans="1:8" x14ac:dyDescent="0.2">
      <c r="A97" s="6">
        <f>'FERC Interest Rates'!A104</f>
        <v>44165</v>
      </c>
      <c r="B97" s="172"/>
      <c r="C97" s="173"/>
      <c r="D97" s="1">
        <f>-304036.62-19918.91</f>
        <v>-323955.52999999997</v>
      </c>
      <c r="E97" s="162"/>
      <c r="F97" s="162"/>
      <c r="H97" s="1">
        <f t="shared" si="5"/>
        <v>2909626.3400000012</v>
      </c>
    </row>
    <row r="98" spans="1:8" x14ac:dyDescent="0.2">
      <c r="A98" s="6">
        <f>'FERC Interest Rates'!A105</f>
        <v>44196</v>
      </c>
      <c r="B98" s="172"/>
      <c r="C98" s="173"/>
      <c r="D98" s="1">
        <f>8692+55438.27</f>
        <v>64130.27</v>
      </c>
      <c r="E98" s="162"/>
      <c r="F98" s="162"/>
      <c r="H98" s="1">
        <f t="shared" si="5"/>
        <v>2973756.6100000013</v>
      </c>
    </row>
    <row r="99" spans="1:8" x14ac:dyDescent="0.2">
      <c r="A99" s="6">
        <f>'FERC Interest Rates'!A106</f>
        <v>44227</v>
      </c>
      <c r="B99" s="172"/>
      <c r="C99" s="173"/>
      <c r="D99" s="1">
        <f>-36+51686.47</f>
        <v>51650.47</v>
      </c>
      <c r="E99" s="162"/>
      <c r="F99" s="162"/>
      <c r="H99" s="1">
        <f t="shared" si="5"/>
        <v>3025407.0800000015</v>
      </c>
    </row>
    <row r="100" spans="1:8" x14ac:dyDescent="0.2">
      <c r="A100" s="6">
        <f>'FERC Interest Rates'!A107</f>
        <v>44255</v>
      </c>
      <c r="B100" s="172"/>
      <c r="C100" s="173"/>
      <c r="D100" s="1">
        <f>-467288.19+43311</f>
        <v>-423977.19</v>
      </c>
      <c r="E100" s="162"/>
      <c r="F100" s="162"/>
      <c r="H100" s="1">
        <f t="shared" si="5"/>
        <v>2601429.8900000015</v>
      </c>
    </row>
    <row r="101" spans="1:8" x14ac:dyDescent="0.2">
      <c r="A101" s="6">
        <f>'FERC Interest Rates'!A108</f>
        <v>44286</v>
      </c>
      <c r="B101" s="172"/>
      <c r="C101" s="173"/>
      <c r="D101" s="1">
        <f>11229.5+21788.78</f>
        <v>33018.28</v>
      </c>
      <c r="E101" s="162"/>
      <c r="F101" s="162"/>
      <c r="H101" s="1">
        <f t="shared" si="5"/>
        <v>2634448.1700000013</v>
      </c>
    </row>
    <row r="102" spans="1:8" x14ac:dyDescent="0.2">
      <c r="A102" s="6">
        <f>'FERC Interest Rates'!A109</f>
        <v>44316</v>
      </c>
      <c r="B102" s="172"/>
      <c r="C102" s="173"/>
      <c r="D102" s="1">
        <f>14234+101860.81</f>
        <v>116094.81</v>
      </c>
      <c r="E102" s="162"/>
      <c r="F102" s="162"/>
      <c r="H102" s="1">
        <f t="shared" si="5"/>
        <v>2750542.9800000014</v>
      </c>
    </row>
    <row r="103" spans="1:8" x14ac:dyDescent="0.2">
      <c r="A103" s="6">
        <f>'FERC Interest Rates'!A110</f>
        <v>44347</v>
      </c>
      <c r="B103" s="172"/>
      <c r="C103" s="173"/>
      <c r="D103" s="1">
        <f>-231211.11+36997</f>
        <v>-194214.11</v>
      </c>
      <c r="E103" s="162"/>
      <c r="F103" s="162"/>
      <c r="H103" s="1">
        <f t="shared" si="5"/>
        <v>2556328.8700000015</v>
      </c>
    </row>
    <row r="104" spans="1:8" x14ac:dyDescent="0.2">
      <c r="A104" s="6">
        <f>'FERC Interest Rates'!A111</f>
        <v>44377</v>
      </c>
      <c r="B104" s="172"/>
      <c r="C104" s="173"/>
      <c r="D104" s="1">
        <f>5480.19+264411.13</f>
        <v>269891.32</v>
      </c>
      <c r="E104" s="162"/>
      <c r="F104" s="162"/>
      <c r="H104" s="1">
        <f t="shared" si="5"/>
        <v>2826220.1900000013</v>
      </c>
    </row>
    <row r="105" spans="1:8" x14ac:dyDescent="0.2">
      <c r="A105" s="6">
        <f>'FERC Interest Rates'!A112</f>
        <v>44408</v>
      </c>
      <c r="B105" s="172"/>
      <c r="C105" s="173"/>
      <c r="D105" s="1">
        <f>10081+80993.3</f>
        <v>91074.3</v>
      </c>
      <c r="E105" s="162"/>
      <c r="F105" s="162"/>
      <c r="H105" s="1">
        <f t="shared" si="5"/>
        <v>2917294.4900000012</v>
      </c>
    </row>
    <row r="106" spans="1:8" x14ac:dyDescent="0.2">
      <c r="A106" s="6">
        <f>'FERC Interest Rates'!A113</f>
        <v>44439</v>
      </c>
      <c r="B106" s="172"/>
      <c r="C106" s="173"/>
      <c r="D106" s="1">
        <f>-3312.5+62094.51</f>
        <v>58782.01</v>
      </c>
      <c r="E106" s="162"/>
      <c r="F106" s="162"/>
      <c r="H106" s="1">
        <f t="shared" si="5"/>
        <v>2976076.5000000009</v>
      </c>
    </row>
    <row r="107" spans="1:8" x14ac:dyDescent="0.2">
      <c r="A107" s="6">
        <f>'FERC Interest Rates'!A114</f>
        <v>44469</v>
      </c>
      <c r="B107" s="172"/>
      <c r="C107" s="173"/>
      <c r="D107" s="1">
        <f>-183636.79+105045</f>
        <v>-78591.790000000008</v>
      </c>
      <c r="E107" s="162"/>
      <c r="F107" s="162"/>
      <c r="H107" s="1">
        <f t="shared" si="5"/>
        <v>2897484.7100000009</v>
      </c>
    </row>
    <row r="108" spans="1:8" x14ac:dyDescent="0.2">
      <c r="A108" s="6">
        <f>'FERC Interest Rates'!A115</f>
        <v>44500</v>
      </c>
      <c r="B108" s="172"/>
      <c r="C108" s="173"/>
      <c r="D108" s="1">
        <f>3017.5-46809.51</f>
        <v>-43792.01</v>
      </c>
      <c r="E108" s="162"/>
      <c r="F108" s="162"/>
      <c r="H108" s="1">
        <f t="shared" si="5"/>
        <v>2853692.7000000011</v>
      </c>
    </row>
    <row r="109" spans="1:8" x14ac:dyDescent="0.2">
      <c r="A109" s="6">
        <f>'FERC Interest Rates'!A116</f>
        <v>44530</v>
      </c>
      <c r="B109" s="172"/>
      <c r="C109" s="173"/>
      <c r="D109" s="1">
        <f>-364582.78-41280.21-74900</f>
        <v>-480762.99000000005</v>
      </c>
      <c r="E109" s="162"/>
      <c r="F109" s="162"/>
      <c r="H109" s="1">
        <f t="shared" ref="H109:H116" si="6">H108+SUM(D109:G109)</f>
        <v>2372929.7100000009</v>
      </c>
    </row>
    <row r="110" spans="1:8" x14ac:dyDescent="0.2">
      <c r="A110" s="6">
        <f>'FERC Interest Rates'!A117</f>
        <v>44561</v>
      </c>
      <c r="B110" s="172"/>
      <c r="C110" s="173"/>
      <c r="D110" s="1">
        <f>16383.88+263531.84</f>
        <v>279915.72000000003</v>
      </c>
      <c r="E110" s="162"/>
      <c r="F110" s="162"/>
      <c r="H110" s="1">
        <f t="shared" si="6"/>
        <v>2652845.4300000011</v>
      </c>
    </row>
    <row r="111" spans="1:8" x14ac:dyDescent="0.2">
      <c r="A111" s="6">
        <f>'FERC Interest Rates'!A118</f>
        <v>44592</v>
      </c>
      <c r="B111" s="172"/>
      <c r="C111" s="173"/>
      <c r="D111" s="1">
        <f>2586.5+64999.04</f>
        <v>67585.540000000008</v>
      </c>
      <c r="E111" s="162"/>
      <c r="F111" s="162"/>
      <c r="H111" s="1">
        <f t="shared" si="6"/>
        <v>2720430.9700000011</v>
      </c>
    </row>
    <row r="112" spans="1:8" x14ac:dyDescent="0.2">
      <c r="A112" s="6">
        <f>'FERC Interest Rates'!A119</f>
        <v>44620</v>
      </c>
      <c r="B112" s="172"/>
      <c r="C112" s="173"/>
      <c r="D112" s="1">
        <f>2775+43861.66</f>
        <v>46636.66</v>
      </c>
      <c r="E112" s="162"/>
      <c r="F112" s="162"/>
      <c r="H112" s="1">
        <f t="shared" si="6"/>
        <v>2767067.6300000013</v>
      </c>
    </row>
    <row r="113" spans="1:8" x14ac:dyDescent="0.2">
      <c r="A113" s="6">
        <f>'FERC Interest Rates'!A120</f>
        <v>44651</v>
      </c>
      <c r="B113" s="172"/>
      <c r="C113" s="173"/>
      <c r="D113" s="1">
        <f>-290135.07+55315.4</f>
        <v>-234819.67</v>
      </c>
      <c r="E113" s="162"/>
      <c r="F113" s="162"/>
      <c r="H113" s="1">
        <f t="shared" si="6"/>
        <v>2532247.9600000014</v>
      </c>
    </row>
    <row r="114" spans="1:8" x14ac:dyDescent="0.2">
      <c r="A114" s="6">
        <f>'FERC Interest Rates'!A121</f>
        <v>44681</v>
      </c>
      <c r="B114" s="172"/>
      <c r="C114" s="173"/>
      <c r="D114" s="1">
        <f>1762+108273.13</f>
        <v>110035.13</v>
      </c>
      <c r="E114" s="162"/>
      <c r="F114" s="162"/>
      <c r="H114" s="1">
        <f t="shared" si="6"/>
        <v>2642283.0900000012</v>
      </c>
    </row>
    <row r="115" spans="1:8" x14ac:dyDescent="0.2">
      <c r="A115" s="6">
        <f>'FERC Interest Rates'!A122</f>
        <v>44712</v>
      </c>
      <c r="B115" s="172"/>
      <c r="C115" s="173"/>
      <c r="D115" s="1">
        <f>-106714.77+64658.5</f>
        <v>-42056.270000000004</v>
      </c>
      <c r="E115" s="162"/>
      <c r="F115" s="162"/>
      <c r="H115" s="1">
        <f t="shared" si="6"/>
        <v>2600226.8200000012</v>
      </c>
    </row>
    <row r="116" spans="1:8" x14ac:dyDescent="0.2">
      <c r="A116" s="6">
        <f>'FERC Interest Rates'!A123</f>
        <v>44742</v>
      </c>
      <c r="B116" s="172"/>
      <c r="C116" s="173"/>
      <c r="D116" s="1">
        <f>10122.19+35443.82</f>
        <v>45566.01</v>
      </c>
      <c r="E116" s="162"/>
      <c r="F116" s="162"/>
      <c r="H116" s="1">
        <f t="shared" si="6"/>
        <v>2645792.830000001</v>
      </c>
    </row>
  </sheetData>
  <mergeCells count="16">
    <mergeCell ref="A4:B4"/>
    <mergeCell ref="C4:H4"/>
    <mergeCell ref="A5:B5"/>
    <mergeCell ref="C5:H5"/>
    <mergeCell ref="A11:G11"/>
    <mergeCell ref="A6:B6"/>
    <mergeCell ref="C6:H6"/>
    <mergeCell ref="A7:B7"/>
    <mergeCell ref="C7:H7"/>
    <mergeCell ref="D9:F9"/>
    <mergeCell ref="A1:B1"/>
    <mergeCell ref="C1:H1"/>
    <mergeCell ref="A2:B2"/>
    <mergeCell ref="C2:H2"/>
    <mergeCell ref="A3:B3"/>
    <mergeCell ref="C3:H3"/>
  </mergeCells>
  <printOptions horizontalCentered="1" gridLinesSet="0"/>
  <pageMargins left="0.5" right="0.25" top="0.5" bottom="0.25" header="0.3" footer="0.3"/>
  <pageSetup scale="89" orientation="portrait" r:id="rId1"/>
  <headerFooter>
    <oddFooter>&amp;L&amp;"-,Bold"&amp;10Cascade Natural Gas Corporation&amp;C&amp;"-,Bold"&amp;10&amp;P of &amp;N&amp;R&amp;"-,Bold"&amp;10Washington Deferral Accounts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90"/>
  <sheetViews>
    <sheetView view="pageBreakPreview" zoomScale="75" zoomScaleNormal="100" zoomScaleSheetLayoutView="75" workbookViewId="0">
      <pane ySplit="7" topLeftCell="A68" activePane="bottomLeft" state="frozen"/>
      <selection activeCell="H129" sqref="H129"/>
      <selection pane="bottomLeft" activeCell="H90" sqref="H90"/>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0.88671875" style="1" customWidth="1"/>
    <col min="8" max="8" width="11.6640625" style="1" customWidth="1"/>
    <col min="9" max="10" width="8.88671875" style="1"/>
    <col min="11" max="12" width="8.109375" style="1" bestFit="1" customWidth="1"/>
    <col min="13" max="13" width="7.33203125" style="1" customWidth="1"/>
    <col min="14" max="14" width="7.33203125" style="1" bestFit="1" customWidth="1"/>
    <col min="15" max="15" width="6.21875" style="1" bestFit="1" customWidth="1"/>
    <col min="16" max="16" width="8.109375" style="1" bestFit="1" customWidth="1"/>
    <col min="17" max="16384" width="8.88671875" style="1"/>
  </cols>
  <sheetData>
    <row r="1" spans="1:8" x14ac:dyDescent="0.2">
      <c r="A1" s="548" t="s">
        <v>13</v>
      </c>
      <c r="B1" s="549"/>
      <c r="C1" s="572" t="s">
        <v>14</v>
      </c>
      <c r="D1" s="572"/>
      <c r="E1" s="572"/>
      <c r="F1" s="572"/>
      <c r="G1" s="572"/>
      <c r="H1" s="573"/>
    </row>
    <row r="2" spans="1:8" x14ac:dyDescent="0.2">
      <c r="A2" s="541" t="s">
        <v>16</v>
      </c>
      <c r="B2" s="533"/>
      <c r="C2" s="574" t="s">
        <v>102</v>
      </c>
      <c r="D2" s="574"/>
      <c r="E2" s="574"/>
      <c r="F2" s="574"/>
      <c r="G2" s="574"/>
      <c r="H2" s="575"/>
    </row>
    <row r="3" spans="1:8" x14ac:dyDescent="0.2">
      <c r="A3" s="541" t="s">
        <v>17</v>
      </c>
      <c r="B3" s="533"/>
      <c r="C3" s="574" t="s">
        <v>119</v>
      </c>
      <c r="D3" s="574"/>
      <c r="E3" s="574"/>
      <c r="F3" s="574"/>
      <c r="G3" s="574"/>
      <c r="H3" s="575"/>
    </row>
    <row r="4" spans="1:8" x14ac:dyDescent="0.2">
      <c r="A4" s="541" t="s">
        <v>18</v>
      </c>
      <c r="B4" s="533"/>
      <c r="C4" s="574" t="s">
        <v>19</v>
      </c>
      <c r="D4" s="574"/>
      <c r="E4" s="574"/>
      <c r="F4" s="574"/>
      <c r="G4" s="574"/>
      <c r="H4" s="575"/>
    </row>
    <row r="5" spans="1:8" x14ac:dyDescent="0.2">
      <c r="A5" s="541" t="s">
        <v>20</v>
      </c>
      <c r="B5" s="533"/>
      <c r="C5" s="574" t="s">
        <v>188</v>
      </c>
      <c r="D5" s="574"/>
      <c r="E5" s="574"/>
      <c r="F5" s="574"/>
      <c r="G5" s="574"/>
      <c r="H5" s="575"/>
    </row>
    <row r="6" spans="1:8" x14ac:dyDescent="0.2">
      <c r="A6" s="541" t="s">
        <v>21</v>
      </c>
      <c r="B6" s="533"/>
      <c r="C6" s="574" t="s">
        <v>189</v>
      </c>
      <c r="D6" s="574"/>
      <c r="E6" s="574"/>
      <c r="F6" s="574"/>
      <c r="G6" s="574"/>
      <c r="H6" s="575"/>
    </row>
    <row r="7" spans="1:8" ht="28.5" customHeight="1" thickBot="1" x14ac:dyDescent="0.25">
      <c r="A7" s="542" t="s">
        <v>22</v>
      </c>
      <c r="B7" s="543"/>
      <c r="C7" s="569" t="s">
        <v>195</v>
      </c>
      <c r="D7" s="569"/>
      <c r="E7" s="569"/>
      <c r="F7" s="569"/>
      <c r="G7" s="569"/>
      <c r="H7" s="570"/>
    </row>
    <row r="8" spans="1:8" x14ac:dyDescent="0.2">
      <c r="A8" s="2"/>
      <c r="B8" s="2"/>
      <c r="C8" s="3"/>
      <c r="D8" s="3"/>
      <c r="E8" s="3"/>
      <c r="F8" s="3"/>
      <c r="G8" s="3"/>
      <c r="H8" s="3"/>
    </row>
    <row r="9" spans="1:8" x14ac:dyDescent="0.2">
      <c r="A9" s="4"/>
      <c r="D9" s="529" t="s">
        <v>38</v>
      </c>
      <c r="E9" s="529"/>
      <c r="F9" s="529"/>
    </row>
    <row r="10" spans="1:8" s="5" customFormat="1" ht="27.75" customHeight="1" x14ac:dyDescent="0.2">
      <c r="A10" s="5" t="s">
        <v>39</v>
      </c>
      <c r="B10" s="5" t="s">
        <v>4</v>
      </c>
      <c r="C10" s="5" t="s">
        <v>12</v>
      </c>
      <c r="D10" s="5" t="s">
        <v>23</v>
      </c>
      <c r="E10" s="5" t="s">
        <v>24</v>
      </c>
      <c r="F10" s="5" t="s">
        <v>2</v>
      </c>
      <c r="G10" s="5" t="s">
        <v>0</v>
      </c>
      <c r="H10" s="5" t="s">
        <v>1</v>
      </c>
    </row>
    <row r="11" spans="1:8" hidden="1" x14ac:dyDescent="0.2">
      <c r="A11" s="39"/>
      <c r="B11" s="39"/>
      <c r="C11" s="39"/>
      <c r="D11" s="39"/>
      <c r="E11" s="39"/>
      <c r="F11" s="39"/>
      <c r="G11" s="39"/>
      <c r="H11" s="34"/>
    </row>
    <row r="12" spans="1:8" hidden="1" x14ac:dyDescent="0.2">
      <c r="A12" s="568" t="s">
        <v>71</v>
      </c>
      <c r="B12" s="568"/>
      <c r="C12" s="568"/>
      <c r="D12" s="568"/>
      <c r="E12" s="568"/>
      <c r="F12" s="568"/>
      <c r="G12" s="34">
        <v>519697.25</v>
      </c>
      <c r="H12" s="34"/>
    </row>
    <row r="13" spans="1:8" hidden="1" x14ac:dyDescent="0.2">
      <c r="A13" s="568" t="s">
        <v>72</v>
      </c>
      <c r="B13" s="568"/>
      <c r="C13" s="568"/>
      <c r="D13" s="568"/>
      <c r="E13" s="568"/>
      <c r="F13" s="568"/>
      <c r="G13" s="34">
        <v>90886.69</v>
      </c>
      <c r="H13" s="34"/>
    </row>
    <row r="14" spans="1:8" hidden="1" x14ac:dyDescent="0.2">
      <c r="A14" s="568" t="s">
        <v>73</v>
      </c>
      <c r="B14" s="568"/>
      <c r="C14" s="568"/>
      <c r="D14" s="568"/>
      <c r="E14" s="568"/>
      <c r="F14" s="568"/>
      <c r="G14" s="34">
        <v>1915128.08</v>
      </c>
      <c r="H14" s="34"/>
    </row>
    <row r="15" spans="1:8" hidden="1" x14ac:dyDescent="0.2">
      <c r="A15" s="568" t="s">
        <v>74</v>
      </c>
      <c r="B15" s="568"/>
      <c r="C15" s="568"/>
      <c r="D15" s="568"/>
      <c r="E15" s="568"/>
      <c r="F15" s="568"/>
      <c r="G15" s="34">
        <v>441993.05</v>
      </c>
      <c r="H15" s="34"/>
    </row>
    <row r="16" spans="1:8" hidden="1" x14ac:dyDescent="0.2">
      <c r="A16" s="568" t="s">
        <v>103</v>
      </c>
      <c r="B16" s="568"/>
      <c r="C16" s="568"/>
      <c r="D16" s="568"/>
      <c r="E16" s="568"/>
      <c r="F16" s="568"/>
      <c r="G16" s="54">
        <v>581148.86</v>
      </c>
      <c r="H16" s="34"/>
    </row>
    <row r="17" spans="1:16" hidden="1" x14ac:dyDescent="0.2">
      <c r="A17" s="33"/>
      <c r="B17" s="34"/>
      <c r="C17" s="34"/>
      <c r="D17" s="34"/>
      <c r="E17" s="34"/>
      <c r="F17" s="34"/>
      <c r="G17" s="34"/>
      <c r="H17" s="34">
        <f>SUM(G12:G16)</f>
        <v>3548853.9299999997</v>
      </c>
    </row>
    <row r="18" spans="1:16" hidden="1" x14ac:dyDescent="0.2">
      <c r="A18" s="6">
        <f>'FERC Interest Rates'!A56</f>
        <v>42704</v>
      </c>
      <c r="B18" s="43" t="s">
        <v>33</v>
      </c>
      <c r="C18" s="37">
        <f>'Therm Sales'!I41</f>
        <v>14546209</v>
      </c>
      <c r="D18" s="45"/>
      <c r="E18" s="34">
        <f>(9630311*-0.01027)+(4915898*-0.01364)</f>
        <v>-165956.14269000001</v>
      </c>
      <c r="F18" s="35">
        <f>ROUND(H17*VLOOKUP(A18,FERCINT16,2)/365*VLOOKUP(A18,FERCINT16,3),2)</f>
        <v>10209.030000000001</v>
      </c>
      <c r="G18" s="34"/>
      <c r="H18" s="34">
        <f>H17+SUM(E18:G18)</f>
        <v>3393106.8173099998</v>
      </c>
    </row>
    <row r="19" spans="1:16" hidden="1" x14ac:dyDescent="0.2">
      <c r="A19" s="6">
        <f>'FERC Interest Rates'!A57</f>
        <v>42735</v>
      </c>
      <c r="B19" s="36">
        <v>-1.3639999999999999E-2</v>
      </c>
      <c r="C19" s="37">
        <f>'Therm Sales'!I42</f>
        <v>29320569</v>
      </c>
      <c r="D19" s="44"/>
      <c r="E19" s="56">
        <f>ROUND(C19*B19,2)-0.01</f>
        <v>-399932.57</v>
      </c>
      <c r="F19" s="35">
        <f>ROUND(H18*VLOOKUP(A19,FERCINT16,2)/365*VLOOKUP(A19,FERCINT16,3),2)</f>
        <v>10086.36</v>
      </c>
      <c r="G19" s="38"/>
      <c r="H19" s="40">
        <f>H18+SUM(D19:G19)</f>
        <v>3003260.6073099999</v>
      </c>
    </row>
    <row r="20" spans="1:16" hidden="1" x14ac:dyDescent="0.2">
      <c r="A20" s="6">
        <f>'FERC Interest Rates'!A58</f>
        <v>42766</v>
      </c>
      <c r="B20" s="36">
        <v>-1.3639999999999999E-2</v>
      </c>
      <c r="C20" s="37">
        <f>'Therm Sales'!I43</f>
        <v>50070976</v>
      </c>
      <c r="D20" s="44"/>
      <c r="E20" s="56">
        <f>ROUND(C20*B20,2)+0.01</f>
        <v>-682968.1</v>
      </c>
      <c r="F20" s="32">
        <f>ROUND(H19*VLOOKUP(A20,FERCINT17,2)/365*VLOOKUP(A20,FERCINT17,3),2)</f>
        <v>8927.5</v>
      </c>
      <c r="G20" s="38"/>
      <c r="H20" s="40">
        <f t="shared" ref="H20:H42" si="0">H19+SUM(D20:G20)</f>
        <v>2329220.0073099998</v>
      </c>
    </row>
    <row r="21" spans="1:16" hidden="1" x14ac:dyDescent="0.2">
      <c r="A21" s="6">
        <f>'FERC Interest Rates'!A59</f>
        <v>42794</v>
      </c>
      <c r="B21" s="36">
        <v>-1.3639999999999999E-2</v>
      </c>
      <c r="C21" s="37">
        <f>'Therm Sales'!I44</f>
        <v>39357111</v>
      </c>
      <c r="D21" s="44"/>
      <c r="E21" s="35">
        <f t="shared" ref="E21:E41" si="1">ROUND(C21*B21,2)</f>
        <v>-536830.99</v>
      </c>
      <c r="F21" s="35">
        <f t="shared" ref="F21:F29" si="2">ROUND(H20*VLOOKUP(A21,FERCINT17,2)/365*VLOOKUP(A21,FERCINT17,3),2)</f>
        <v>6253.8</v>
      </c>
      <c r="G21" s="38"/>
      <c r="H21" s="40">
        <f t="shared" si="0"/>
        <v>1798642.8173099998</v>
      </c>
    </row>
    <row r="22" spans="1:16" hidden="1" x14ac:dyDescent="0.2">
      <c r="A22" s="6">
        <f>'FERC Interest Rates'!A60</f>
        <v>42825</v>
      </c>
      <c r="B22" s="36">
        <v>-1.3639999999999999E-2</v>
      </c>
      <c r="C22" s="37">
        <f>'Therm Sales'!I45</f>
        <v>35872415</v>
      </c>
      <c r="D22" s="44"/>
      <c r="E22" s="35">
        <f t="shared" si="1"/>
        <v>-489299.74</v>
      </c>
      <c r="F22" s="35">
        <f t="shared" si="2"/>
        <v>5346.65</v>
      </c>
      <c r="G22" s="38"/>
      <c r="H22" s="40">
        <f t="shared" si="0"/>
        <v>1314689.72731</v>
      </c>
    </row>
    <row r="23" spans="1:16" hidden="1" x14ac:dyDescent="0.2">
      <c r="A23" s="6">
        <f>'FERC Interest Rates'!A61</f>
        <v>42855</v>
      </c>
      <c r="B23" s="36">
        <v>-1.3639999999999999E-2</v>
      </c>
      <c r="C23" s="37">
        <f>'Therm Sales'!I46</f>
        <v>21376214</v>
      </c>
      <c r="D23" s="44"/>
      <c r="E23" s="35">
        <f t="shared" si="1"/>
        <v>-291571.56</v>
      </c>
      <c r="F23" s="35">
        <f t="shared" si="2"/>
        <v>4008.9</v>
      </c>
      <c r="G23" s="38"/>
      <c r="H23" s="40">
        <f t="shared" si="0"/>
        <v>1027127.0673100001</v>
      </c>
    </row>
    <row r="24" spans="1:16" hidden="1" x14ac:dyDescent="0.2">
      <c r="A24" s="6">
        <f>'FERC Interest Rates'!A62</f>
        <v>42886</v>
      </c>
      <c r="B24" s="36">
        <v>-1.3639999999999999E-2</v>
      </c>
      <c r="C24" s="37">
        <f>'Therm Sales'!I47</f>
        <v>15973162</v>
      </c>
      <c r="D24" s="44"/>
      <c r="E24" s="35">
        <f t="shared" si="1"/>
        <v>-217873.93</v>
      </c>
      <c r="F24" s="35">
        <f t="shared" si="2"/>
        <v>3236.44</v>
      </c>
      <c r="G24" s="38"/>
      <c r="H24" s="40">
        <f t="shared" si="0"/>
        <v>812489.57731000008</v>
      </c>
    </row>
    <row r="25" spans="1:16" hidden="1" x14ac:dyDescent="0.2">
      <c r="A25" s="6">
        <f>'FERC Interest Rates'!A63</f>
        <v>42916</v>
      </c>
      <c r="B25" s="36">
        <v>-1.3639999999999999E-2</v>
      </c>
      <c r="C25" s="37">
        <f>'Therm Sales'!I48</f>
        <v>10444773</v>
      </c>
      <c r="D25" s="42"/>
      <c r="E25" s="35">
        <f t="shared" si="1"/>
        <v>-142466.70000000001</v>
      </c>
      <c r="F25" s="35">
        <f t="shared" si="2"/>
        <v>2477.54</v>
      </c>
      <c r="H25" s="40">
        <f t="shared" si="0"/>
        <v>672500.41731000005</v>
      </c>
    </row>
    <row r="26" spans="1:16" hidden="1" x14ac:dyDescent="0.2">
      <c r="A26" s="6">
        <f>'FERC Interest Rates'!A64</f>
        <v>42947</v>
      </c>
      <c r="B26" s="36">
        <v>-1.3639999999999999E-2</v>
      </c>
      <c r="C26" s="37">
        <f>'Therm Sales'!I49</f>
        <v>6810348</v>
      </c>
      <c r="D26" s="42"/>
      <c r="E26" s="56">
        <f>ROUND(C26*B26,2)-0.01</f>
        <v>-92893.159999999989</v>
      </c>
      <c r="F26" s="35">
        <f t="shared" si="2"/>
        <v>2261.81</v>
      </c>
      <c r="H26" s="40">
        <f t="shared" si="0"/>
        <v>581869.06731000007</v>
      </c>
    </row>
    <row r="27" spans="1:16" hidden="1" x14ac:dyDescent="0.2">
      <c r="A27" s="6">
        <f>'FERC Interest Rates'!A65</f>
        <v>42978</v>
      </c>
      <c r="B27" s="36">
        <v>-1.3639999999999999E-2</v>
      </c>
      <c r="C27" s="37">
        <f>'Therm Sales'!I50</f>
        <v>6787724</v>
      </c>
      <c r="D27" s="42"/>
      <c r="E27" s="56">
        <f>ROUND(C27*B27,2)+0.01</f>
        <v>-92584.55</v>
      </c>
      <c r="F27" s="35">
        <f t="shared" si="2"/>
        <v>1956.99</v>
      </c>
      <c r="H27" s="40">
        <f t="shared" si="0"/>
        <v>491241.50731000007</v>
      </c>
    </row>
    <row r="28" spans="1:16" hidden="1" x14ac:dyDescent="0.2">
      <c r="A28" s="6">
        <f>'FERC Interest Rates'!A66</f>
        <v>43008</v>
      </c>
      <c r="B28" s="36">
        <v>-1.3639999999999999E-2</v>
      </c>
      <c r="C28" s="37">
        <f>'Therm Sales'!I51</f>
        <v>6429137</v>
      </c>
      <c r="D28" s="42"/>
      <c r="E28" s="56">
        <f>ROUND(C28*B28,2)+0.01</f>
        <v>-87693.42</v>
      </c>
      <c r="F28" s="35">
        <f t="shared" si="2"/>
        <v>1598.89</v>
      </c>
      <c r="H28" s="40">
        <f t="shared" si="0"/>
        <v>405146.9773100001</v>
      </c>
      <c r="K28" s="15">
        <v>503</v>
      </c>
      <c r="L28" s="15">
        <v>504</v>
      </c>
      <c r="M28" s="15">
        <v>505</v>
      </c>
      <c r="N28" s="15">
        <v>511</v>
      </c>
      <c r="O28" s="15">
        <v>570</v>
      </c>
      <c r="P28" s="15" t="s">
        <v>3</v>
      </c>
    </row>
    <row r="29" spans="1:16" hidden="1" x14ac:dyDescent="0.2">
      <c r="A29" s="6">
        <f>'FERC Interest Rates'!A67</f>
        <v>43039</v>
      </c>
      <c r="B29" s="36">
        <v>-1.3639999999999999E-2</v>
      </c>
      <c r="C29" s="37">
        <f>'Therm Sales'!I52</f>
        <v>11413067</v>
      </c>
      <c r="D29" s="42"/>
      <c r="E29" s="56">
        <f>ROUND(C29*B29,2)-0.01</f>
        <v>-155674.24000000002</v>
      </c>
      <c r="F29" s="35">
        <f t="shared" si="2"/>
        <v>1448.65</v>
      </c>
      <c r="H29" s="40">
        <f t="shared" si="0"/>
        <v>250921.38731000008</v>
      </c>
      <c r="J29" s="1" t="s">
        <v>114</v>
      </c>
      <c r="K29" s="8">
        <v>6713843</v>
      </c>
      <c r="L29" s="8">
        <v>4550202</v>
      </c>
      <c r="M29" s="8">
        <v>687511</v>
      </c>
      <c r="N29" s="8">
        <f>560996+175575</f>
        <v>736571</v>
      </c>
      <c r="O29" s="8">
        <v>0</v>
      </c>
      <c r="P29" s="8">
        <f>SUM(K29:O29)</f>
        <v>12688127</v>
      </c>
    </row>
    <row r="30" spans="1:16" hidden="1" x14ac:dyDescent="0.2">
      <c r="A30" s="528" t="s">
        <v>111</v>
      </c>
      <c r="B30" s="528"/>
      <c r="C30" s="528"/>
      <c r="D30" s="528"/>
      <c r="E30" s="528"/>
      <c r="F30" s="528"/>
      <c r="G30" s="1">
        <v>2813642.63</v>
      </c>
      <c r="H30" s="40">
        <f t="shared" si="0"/>
        <v>3064564.01731</v>
      </c>
      <c r="J30" s="1" t="s">
        <v>113</v>
      </c>
      <c r="K30" s="8">
        <v>3745285</v>
      </c>
      <c r="L30" s="8">
        <f>2334076+1372</f>
        <v>2335448</v>
      </c>
      <c r="M30" s="8">
        <f>372+298875</f>
        <v>299247</v>
      </c>
      <c r="N30" s="8">
        <f>373602+116927</f>
        <v>490529</v>
      </c>
      <c r="O30" s="8">
        <v>212628</v>
      </c>
      <c r="P30" s="8">
        <f>SUM(K30:O30)</f>
        <v>7083137</v>
      </c>
    </row>
    <row r="31" spans="1:16" hidden="1" x14ac:dyDescent="0.2">
      <c r="A31" s="6">
        <f>'FERC Interest Rates'!A68</f>
        <v>43069</v>
      </c>
      <c r="B31" s="36" t="s">
        <v>33</v>
      </c>
      <c r="C31" s="37">
        <f>'Therm Sales'!I53</f>
        <v>19831096</v>
      </c>
      <c r="D31" s="42"/>
      <c r="E31" s="67">
        <f>ROUND((7119326*-0.01305)+(12711770*-0.01364),2)-0.01</f>
        <v>-266295.76</v>
      </c>
      <c r="F31" s="35">
        <f>ROUND(H30*VLOOKUP(A31,FERCINT17,2)/365*VLOOKUP(A31,FERCINT17,3),2)</f>
        <v>10604.23</v>
      </c>
      <c r="H31" s="40">
        <f t="shared" si="0"/>
        <v>2808872.4873100002</v>
      </c>
      <c r="J31" s="1" t="s">
        <v>3</v>
      </c>
      <c r="K31" s="66">
        <f t="shared" ref="K31:O31" si="3">SUM(K29:K30)</f>
        <v>10459128</v>
      </c>
      <c r="L31" s="66">
        <f t="shared" si="3"/>
        <v>6885650</v>
      </c>
      <c r="M31" s="66">
        <f t="shared" si="3"/>
        <v>986758</v>
      </c>
      <c r="N31" s="66">
        <f t="shared" si="3"/>
        <v>1227100</v>
      </c>
      <c r="O31" s="66">
        <f t="shared" si="3"/>
        <v>212628</v>
      </c>
      <c r="P31" s="66">
        <f>SUM(P29:P30)</f>
        <v>19771264</v>
      </c>
    </row>
    <row r="32" spans="1:16" hidden="1" x14ac:dyDescent="0.2">
      <c r="A32" s="6">
        <f>'FERC Interest Rates'!A69</f>
        <v>43100</v>
      </c>
      <c r="B32" s="36">
        <v>-1.3050000000000001E-2</v>
      </c>
      <c r="C32" s="37">
        <f>'Therm Sales'!I54</f>
        <v>29973671</v>
      </c>
      <c r="D32" s="42"/>
      <c r="E32" s="56">
        <f>ROUND(C32*B32,2)+0.01</f>
        <v>-391156.39999999997</v>
      </c>
      <c r="F32" s="35">
        <f>ROUND(H31*VLOOKUP(A32,FERCINT17,2)/365*VLOOKUP(A32,FERCINT17,3),2)</f>
        <v>10043.450000000001</v>
      </c>
      <c r="H32" s="40">
        <f t="shared" si="0"/>
        <v>2427759.5373100005</v>
      </c>
    </row>
    <row r="33" spans="1:16" hidden="1" x14ac:dyDescent="0.2">
      <c r="A33" s="6">
        <f>'FERC Interest Rates'!A70</f>
        <v>43131</v>
      </c>
      <c r="B33" s="36">
        <v>-1.3050000000000001E-2</v>
      </c>
      <c r="C33" s="37">
        <f>'Therm Sales'!I55+'Therm Sales'!Q55+'Therm Sales'!R55</f>
        <v>35051211</v>
      </c>
      <c r="D33" s="42"/>
      <c r="E33" s="35">
        <f t="shared" si="1"/>
        <v>-457418.3</v>
      </c>
      <c r="F33" s="35">
        <f>ROUND(H32*VLOOKUP(A33,FERCINT18,2)/365*VLOOKUP(A33,FERCINT18,3),2)</f>
        <v>8763.2099999999991</v>
      </c>
      <c r="H33" s="40">
        <f t="shared" si="0"/>
        <v>1979104.4473100007</v>
      </c>
    </row>
    <row r="34" spans="1:16" hidden="1" x14ac:dyDescent="0.2">
      <c r="A34" s="6">
        <f>'FERC Interest Rates'!A71</f>
        <v>43159</v>
      </c>
      <c r="B34" s="36">
        <v>-1.3050000000000001E-2</v>
      </c>
      <c r="C34" s="37">
        <f>'Therm Sales'!I56+'Therm Sales'!Q56+'Therm Sales'!R56</f>
        <v>33069193</v>
      </c>
      <c r="D34" s="42"/>
      <c r="E34" s="56">
        <f>ROUND(C34*B34,2)-0.02</f>
        <v>-431552.99</v>
      </c>
      <c r="F34" s="35">
        <f t="shared" ref="F34:F45" si="4">ROUND(H33*VLOOKUP(A34,FERCINT18,2)/365*VLOOKUP(A34,FERCINT18,3),2)</f>
        <v>6452.42</v>
      </c>
      <c r="H34" s="40">
        <f t="shared" si="0"/>
        <v>1554003.8773100006</v>
      </c>
    </row>
    <row r="35" spans="1:16" hidden="1" x14ac:dyDescent="0.2">
      <c r="A35" s="6">
        <f>'FERC Interest Rates'!A72</f>
        <v>43190</v>
      </c>
      <c r="B35" s="36">
        <v>-1.3050000000000001E-2</v>
      </c>
      <c r="C35" s="37">
        <f>'Therm Sales'!I57+'Therm Sales'!Q57+'Therm Sales'!R57</f>
        <v>26847264</v>
      </c>
      <c r="D35" s="42"/>
      <c r="E35" s="56">
        <f>ROUND(C35*B35,2)+0.01</f>
        <v>-350356.79</v>
      </c>
      <c r="F35" s="35">
        <f t="shared" si="4"/>
        <v>5609.32</v>
      </c>
      <c r="H35" s="40">
        <f t="shared" si="0"/>
        <v>1209256.4073100006</v>
      </c>
    </row>
    <row r="36" spans="1:16" hidden="1" x14ac:dyDescent="0.2">
      <c r="A36" s="6">
        <f>'FERC Interest Rates'!A73</f>
        <v>43220</v>
      </c>
      <c r="B36" s="36">
        <v>-1.3050000000000001E-2</v>
      </c>
      <c r="C36" s="37">
        <f>'Therm Sales'!I58+'Therm Sales'!Q58+'Therm Sales'!R58</f>
        <v>18420877</v>
      </c>
      <c r="D36" s="42"/>
      <c r="E36" s="35">
        <f t="shared" si="1"/>
        <v>-240392.44</v>
      </c>
      <c r="F36" s="35">
        <f t="shared" si="4"/>
        <v>4442.7700000000004</v>
      </c>
      <c r="H36" s="40">
        <f t="shared" si="0"/>
        <v>973306.73731000058</v>
      </c>
    </row>
    <row r="37" spans="1:16" hidden="1" x14ac:dyDescent="0.2">
      <c r="A37" s="6">
        <f>'FERC Interest Rates'!A74</f>
        <v>43251</v>
      </c>
      <c r="B37" s="36">
        <v>-1.3050000000000001E-2</v>
      </c>
      <c r="C37" s="37">
        <f>'Therm Sales'!I59+'Therm Sales'!Q59+'Therm Sales'!R59</f>
        <v>9123371</v>
      </c>
      <c r="D37" s="42"/>
      <c r="E37" s="56">
        <f>ROUND(C37*B37,2)+0.01</f>
        <v>-119059.98000000001</v>
      </c>
      <c r="F37" s="35">
        <f t="shared" si="4"/>
        <v>3695.1</v>
      </c>
      <c r="H37" s="40">
        <f t="shared" si="0"/>
        <v>857941.85731000057</v>
      </c>
    </row>
    <row r="38" spans="1:16" hidden="1" x14ac:dyDescent="0.2">
      <c r="A38" s="6">
        <f>'FERC Interest Rates'!A75</f>
        <v>43281</v>
      </c>
      <c r="B38" s="36">
        <v>-1.3050000000000001E-2</v>
      </c>
      <c r="C38" s="37">
        <f>'Therm Sales'!I60+'Therm Sales'!Q60+'Therm Sales'!R60</f>
        <v>8475556</v>
      </c>
      <c r="D38" s="42"/>
      <c r="E38" s="56">
        <f>ROUND(C38*B38,2)-0.01</f>
        <v>-110606.01999999999</v>
      </c>
      <c r="F38" s="35">
        <f t="shared" si="4"/>
        <v>3152.05</v>
      </c>
      <c r="H38" s="40">
        <f t="shared" si="0"/>
        <v>750487.8873100006</v>
      </c>
    </row>
    <row r="39" spans="1:16" hidden="1" x14ac:dyDescent="0.2">
      <c r="A39" s="6">
        <f>'FERC Interest Rates'!A76</f>
        <v>43312</v>
      </c>
      <c r="B39" s="36">
        <v>-1.3050000000000001E-2</v>
      </c>
      <c r="C39" s="37">
        <f>'Therm Sales'!I61+'Therm Sales'!Q61+'Therm Sales'!R61</f>
        <v>7002546</v>
      </c>
      <c r="D39" s="42"/>
      <c r="E39" s="56">
        <f>ROUND(C39*B39,2)+0.01+0.01</f>
        <v>-91383.21</v>
      </c>
      <c r="F39" s="35">
        <f t="shared" si="4"/>
        <v>2989.41</v>
      </c>
      <c r="H39" s="40">
        <f t="shared" si="0"/>
        <v>662094.08731000056</v>
      </c>
    </row>
    <row r="40" spans="1:16" hidden="1" x14ac:dyDescent="0.2">
      <c r="A40" s="6">
        <f>'FERC Interest Rates'!A77</f>
        <v>43343</v>
      </c>
      <c r="B40" s="36">
        <v>-1.3050000000000001E-2</v>
      </c>
      <c r="C40" s="37">
        <f>'Therm Sales'!I62+'Therm Sales'!Q62+'Therm Sales'!R62</f>
        <v>4282904</v>
      </c>
      <c r="D40" s="42"/>
      <c r="E40" s="35">
        <f t="shared" si="1"/>
        <v>-55891.9</v>
      </c>
      <c r="F40" s="35">
        <f t="shared" si="4"/>
        <v>2637.31</v>
      </c>
      <c r="H40" s="40">
        <f t="shared" si="0"/>
        <v>608839.49731000059</v>
      </c>
    </row>
    <row r="41" spans="1:16" hidden="1" x14ac:dyDescent="0.2">
      <c r="A41" s="6">
        <f>'FERC Interest Rates'!A78</f>
        <v>43373</v>
      </c>
      <c r="B41" s="36">
        <v>-1.3050000000000001E-2</v>
      </c>
      <c r="C41" s="37">
        <f>'Therm Sales'!I63+'Therm Sales'!Q63+'Therm Sales'!R63</f>
        <v>8899792</v>
      </c>
      <c r="D41" s="42"/>
      <c r="E41" s="35">
        <f t="shared" si="1"/>
        <v>-116142.29</v>
      </c>
      <c r="F41" s="35">
        <f t="shared" si="4"/>
        <v>2346.9499999999998</v>
      </c>
      <c r="H41" s="40">
        <f t="shared" si="0"/>
        <v>495044.15731000062</v>
      </c>
      <c r="K41" s="15">
        <v>503</v>
      </c>
      <c r="L41" s="15">
        <v>504</v>
      </c>
      <c r="M41" s="15">
        <v>505</v>
      </c>
      <c r="N41" s="15">
        <v>511</v>
      </c>
      <c r="O41" s="15">
        <v>570</v>
      </c>
      <c r="P41" s="15" t="s">
        <v>3</v>
      </c>
    </row>
    <row r="42" spans="1:16" hidden="1" x14ac:dyDescent="0.2">
      <c r="A42" s="6">
        <f>'FERC Interest Rates'!A79</f>
        <v>43404</v>
      </c>
      <c r="B42" s="36">
        <v>-1.3050000000000001E-2</v>
      </c>
      <c r="C42" s="37">
        <f>'Therm Sales'!I64+'Therm Sales'!Q64+'Therm Sales'!R64</f>
        <v>16882992</v>
      </c>
      <c r="D42" s="42"/>
      <c r="E42" s="56">
        <f>ROUND(C42*B42,2)+0.01</f>
        <v>-220323.03999999998</v>
      </c>
      <c r="F42" s="35">
        <f t="shared" si="4"/>
        <v>2085.42</v>
      </c>
      <c r="H42" s="40">
        <f t="shared" si="0"/>
        <v>276806.53731000063</v>
      </c>
      <c r="J42" s="10" t="s">
        <v>139</v>
      </c>
      <c r="K42" s="8">
        <v>955454</v>
      </c>
      <c r="L42" s="8">
        <v>-392656</v>
      </c>
      <c r="M42" s="8">
        <v>691277</v>
      </c>
      <c r="N42" s="8">
        <f>107458+459820</f>
        <v>567278</v>
      </c>
      <c r="O42" s="8">
        <v>0</v>
      </c>
      <c r="P42" s="8">
        <f>SUM(K42:O42)</f>
        <v>1821353</v>
      </c>
    </row>
    <row r="43" spans="1:16" hidden="1" x14ac:dyDescent="0.2">
      <c r="A43" s="528" t="s">
        <v>111</v>
      </c>
      <c r="B43" s="528"/>
      <c r="C43" s="528"/>
      <c r="D43" s="528"/>
      <c r="E43" s="528"/>
      <c r="F43" s="528"/>
      <c r="G43" s="1">
        <v>5836279.6399999997</v>
      </c>
      <c r="H43" s="40">
        <f t="shared" ref="H43:H54" si="5">H42+SUM(D43:G43)</f>
        <v>6113086.1773100002</v>
      </c>
      <c r="J43" s="10" t="s">
        <v>140</v>
      </c>
      <c r="K43" s="8">
        <v>14539817</v>
      </c>
      <c r="L43" s="8">
        <f>10738274+3464</f>
        <v>10741738</v>
      </c>
      <c r="M43" s="8">
        <f>298083+63</f>
        <v>298146</v>
      </c>
      <c r="N43" s="8">
        <f>77569+331925</f>
        <v>409494</v>
      </c>
      <c r="O43" s="8">
        <v>217688</v>
      </c>
      <c r="P43" s="8">
        <f>SUM(K43:O43)</f>
        <v>26206883</v>
      </c>
    </row>
    <row r="44" spans="1:16" hidden="1" x14ac:dyDescent="0.2">
      <c r="A44" s="6">
        <f>'FERC Interest Rates'!A80</f>
        <v>43434</v>
      </c>
      <c r="B44" s="36" t="s">
        <v>33</v>
      </c>
      <c r="C44" s="37">
        <f>'Therm Sales'!I65+'Therm Sales'!Q65+'Therm Sales'!R65</f>
        <v>28028236</v>
      </c>
      <c r="D44" s="42"/>
      <c r="E44" s="34">
        <f>ROUND((P42*-0.01305)+(P43*-0.02634),2)</f>
        <v>-714057.95</v>
      </c>
      <c r="F44" s="35">
        <f t="shared" si="4"/>
        <v>24921.29</v>
      </c>
      <c r="H44" s="40">
        <f t="shared" si="5"/>
        <v>5423949.51731</v>
      </c>
      <c r="J44" s="10" t="s">
        <v>3</v>
      </c>
      <c r="K44" s="66">
        <f t="shared" ref="K44:O44" si="6">SUM(K42:K43)</f>
        <v>15495271</v>
      </c>
      <c r="L44" s="66">
        <f t="shared" si="6"/>
        <v>10349082</v>
      </c>
      <c r="M44" s="66">
        <f t="shared" si="6"/>
        <v>989423</v>
      </c>
      <c r="N44" s="66">
        <f t="shared" si="6"/>
        <v>976772</v>
      </c>
      <c r="O44" s="66">
        <f t="shared" si="6"/>
        <v>217688</v>
      </c>
      <c r="P44" s="66">
        <f>SUM(P42:P43)</f>
        <v>28028236</v>
      </c>
    </row>
    <row r="45" spans="1:16" hidden="1" x14ac:dyDescent="0.2">
      <c r="A45" s="6">
        <f>'FERC Interest Rates'!A81</f>
        <v>43465</v>
      </c>
      <c r="B45" s="36">
        <v>-2.6339999999999999E-2</v>
      </c>
      <c r="C45" s="37">
        <f>'Therm Sales'!I66+'Therm Sales'!Q66+'Therm Sales'!R66</f>
        <v>35902771</v>
      </c>
      <c r="D45" s="42"/>
      <c r="E45" s="32">
        <f>ROUND(C45*B45,2)</f>
        <v>-945678.99</v>
      </c>
      <c r="F45" s="35">
        <f t="shared" si="4"/>
        <v>22848.94</v>
      </c>
      <c r="H45" s="40">
        <f t="shared" si="5"/>
        <v>4501119.4673100002</v>
      </c>
    </row>
    <row r="46" spans="1:16" hidden="1" x14ac:dyDescent="0.2">
      <c r="A46" s="6">
        <f>'FERC Interest Rates'!A82</f>
        <v>43496</v>
      </c>
      <c r="B46" s="36">
        <v>-2.6339999999999999E-2</v>
      </c>
      <c r="C46" s="37">
        <f>'Therm Sales'!I67+'Therm Sales'!Q67+'Therm Sales'!R67</f>
        <v>36009901</v>
      </c>
      <c r="D46" s="42"/>
      <c r="E46" s="56">
        <f>ROUND(C46*B46,2)+0.02</f>
        <v>-948500.77</v>
      </c>
      <c r="F46" s="35">
        <f t="shared" ref="F46:F54" si="7">ROUND(H45*VLOOKUP(A46,FERCINT19,2)/365*VLOOKUP(A46,FERCINT19,3),2)</f>
        <v>19802.46</v>
      </c>
      <c r="H46" s="40">
        <f t="shared" si="5"/>
        <v>3572421.1573100002</v>
      </c>
    </row>
    <row r="47" spans="1:16" hidden="1" x14ac:dyDescent="0.2">
      <c r="A47" s="6">
        <f>'FERC Interest Rates'!A83</f>
        <v>43524</v>
      </c>
      <c r="B47" s="36">
        <v>-2.6339999999999999E-2</v>
      </c>
      <c r="C47" s="37">
        <f>'Therm Sales'!I68+'Therm Sales'!Q68+'Therm Sales'!R68</f>
        <v>44489208</v>
      </c>
      <c r="D47" s="42"/>
      <c r="E47" s="32">
        <f t="shared" ref="E47:E53" si="8">ROUND(C47*B47,2)</f>
        <v>-1171845.74</v>
      </c>
      <c r="F47" s="35">
        <f t="shared" si="7"/>
        <v>14195.73</v>
      </c>
      <c r="H47" s="40">
        <f t="shared" si="5"/>
        <v>2414771.1473099999</v>
      </c>
    </row>
    <row r="48" spans="1:16" hidden="1" x14ac:dyDescent="0.2">
      <c r="A48" s="6">
        <f>'FERC Interest Rates'!A84</f>
        <v>43555</v>
      </c>
      <c r="B48" s="36">
        <v>-2.6339999999999999E-2</v>
      </c>
      <c r="C48" s="37">
        <f>'Therm Sales'!I69+'Therm Sales'!Q69+'Therm Sales'!R69</f>
        <v>32248157</v>
      </c>
      <c r="D48" s="42"/>
      <c r="E48" s="32">
        <f t="shared" si="8"/>
        <v>-849416.46</v>
      </c>
      <c r="F48" s="35">
        <f t="shared" si="7"/>
        <v>10623.67</v>
      </c>
      <c r="H48" s="40">
        <f t="shared" si="5"/>
        <v>1575978.3573099999</v>
      </c>
    </row>
    <row r="49" spans="1:16" hidden="1" x14ac:dyDescent="0.2">
      <c r="A49" s="6">
        <f>'FERC Interest Rates'!A85</f>
        <v>43585</v>
      </c>
      <c r="B49" s="36">
        <v>-2.6339999999999999E-2</v>
      </c>
      <c r="C49" s="37">
        <f>'Therm Sales'!I70+'Therm Sales'!Q70+'Therm Sales'!R70</f>
        <v>15035211</v>
      </c>
      <c r="D49" s="42"/>
      <c r="E49" s="56">
        <f>ROUND(C49*B49,2)+0.01</f>
        <v>-396027.45</v>
      </c>
      <c r="F49" s="35">
        <f t="shared" si="7"/>
        <v>7059.52</v>
      </c>
      <c r="H49" s="40">
        <f t="shared" si="5"/>
        <v>1187010.4273099999</v>
      </c>
    </row>
    <row r="50" spans="1:16" hidden="1" x14ac:dyDescent="0.2">
      <c r="A50" s="6">
        <f>'FERC Interest Rates'!A86</f>
        <v>43616</v>
      </c>
      <c r="B50" s="36">
        <v>-2.6339999999999999E-2</v>
      </c>
      <c r="C50" s="37">
        <f>'Therm Sales'!I71+'Therm Sales'!Q71+'Therm Sales'!R71</f>
        <v>10264483</v>
      </c>
      <c r="D50" s="42"/>
      <c r="E50" s="32">
        <f t="shared" si="8"/>
        <v>-270366.48</v>
      </c>
      <c r="F50" s="35">
        <f t="shared" si="7"/>
        <v>5494.39</v>
      </c>
      <c r="H50" s="40">
        <f t="shared" si="5"/>
        <v>922138.33730999997</v>
      </c>
    </row>
    <row r="51" spans="1:16" hidden="1" x14ac:dyDescent="0.2">
      <c r="A51" s="6">
        <f>'FERC Interest Rates'!A87</f>
        <v>43646</v>
      </c>
      <c r="B51" s="36">
        <v>-2.6339999999999999E-2</v>
      </c>
      <c r="C51" s="37">
        <f>'Therm Sales'!I72+'Therm Sales'!Q72+'Therm Sales'!R72</f>
        <v>7217178</v>
      </c>
      <c r="D51" s="42"/>
      <c r="E51" s="32">
        <f t="shared" si="8"/>
        <v>-190100.47</v>
      </c>
      <c r="F51" s="35">
        <f t="shared" si="7"/>
        <v>4130.67</v>
      </c>
      <c r="H51" s="40">
        <f t="shared" si="5"/>
        <v>736168.53731000004</v>
      </c>
    </row>
    <row r="52" spans="1:16" hidden="1" x14ac:dyDescent="0.2">
      <c r="A52" s="6">
        <f>'FERC Interest Rates'!A88</f>
        <v>43677</v>
      </c>
      <c r="B52" s="36">
        <v>-2.6339999999999999E-2</v>
      </c>
      <c r="C52" s="37">
        <f>'Therm Sales'!I73+'Therm Sales'!Q73+'Therm Sales'!R73</f>
        <v>7606624</v>
      </c>
      <c r="D52" s="42"/>
      <c r="E52" s="32">
        <f t="shared" si="8"/>
        <v>-200358.48</v>
      </c>
      <c r="F52" s="35">
        <f t="shared" si="7"/>
        <v>3438.81</v>
      </c>
      <c r="H52" s="40">
        <f t="shared" si="5"/>
        <v>539248.86731</v>
      </c>
    </row>
    <row r="53" spans="1:16" hidden="1" x14ac:dyDescent="0.2">
      <c r="A53" s="6">
        <f>'FERC Interest Rates'!A89</f>
        <v>43708</v>
      </c>
      <c r="B53" s="36">
        <v>-2.6339999999999999E-2</v>
      </c>
      <c r="C53" s="37">
        <f>'Therm Sales'!I74+'Therm Sales'!Q74+'Therm Sales'!R74</f>
        <v>5078924</v>
      </c>
      <c r="D53" s="42"/>
      <c r="E53" s="32">
        <f t="shared" si="8"/>
        <v>-133778.85999999999</v>
      </c>
      <c r="F53" s="35">
        <f t="shared" si="7"/>
        <v>2518.96</v>
      </c>
      <c r="H53" s="40">
        <f t="shared" si="5"/>
        <v>407988.96730999998</v>
      </c>
    </row>
    <row r="54" spans="1:16" hidden="1" x14ac:dyDescent="0.2">
      <c r="A54" s="6">
        <f>'FERC Interest Rates'!A90</f>
        <v>43738</v>
      </c>
      <c r="B54" s="36">
        <v>-2.6339999999999999E-2</v>
      </c>
      <c r="C54" s="37">
        <f>'Therm Sales'!I75+'Therm Sales'!Q75+'Therm Sales'!R75</f>
        <v>10116547</v>
      </c>
      <c r="D54" s="42"/>
      <c r="E54" s="56">
        <f>ROUND(C54*B54,2)+0.01</f>
        <v>-266469.83999999997</v>
      </c>
      <c r="F54" s="35">
        <f t="shared" si="7"/>
        <v>1844.33</v>
      </c>
      <c r="H54" s="40">
        <f t="shared" si="5"/>
        <v>143363.45731000003</v>
      </c>
      <c r="K54" s="15">
        <v>503</v>
      </c>
      <c r="L54" s="15">
        <v>504</v>
      </c>
      <c r="M54" s="15">
        <v>505</v>
      </c>
      <c r="N54" s="15">
        <v>511</v>
      </c>
      <c r="O54" s="15">
        <v>570</v>
      </c>
      <c r="P54" s="15" t="s">
        <v>3</v>
      </c>
    </row>
    <row r="55" spans="1:16" hidden="1" x14ac:dyDescent="0.2">
      <c r="A55" s="6">
        <f>'FERC Interest Rates'!A91</f>
        <v>43769</v>
      </c>
      <c r="B55" s="36">
        <v>-2.6339999999999999E-2</v>
      </c>
      <c r="C55" s="37">
        <f>'Therm Sales'!I76+'Therm Sales'!Q76+'Therm Sales'!R76</f>
        <v>23306037</v>
      </c>
      <c r="D55" s="42"/>
      <c r="E55" s="32">
        <f>ROUND(C55*B55,2)</f>
        <v>-613881.01</v>
      </c>
      <c r="F55" s="35">
        <f>ROUND(H54*VLOOKUP(A55,FERCINT19,2)/365*VLOOKUP(A55,FERCINT19,3),2)</f>
        <v>659.94</v>
      </c>
      <c r="H55" s="40">
        <f>H54+SUM(D55:G55)</f>
        <v>-469857.61269000004</v>
      </c>
      <c r="J55" s="151" t="s">
        <v>139</v>
      </c>
      <c r="K55" s="8">
        <v>206584</v>
      </c>
      <c r="L55" s="8">
        <v>-1074762</v>
      </c>
      <c r="M55" s="8">
        <v>806453</v>
      </c>
      <c r="N55" s="8">
        <f>292270+626870</f>
        <v>919140</v>
      </c>
      <c r="O55" s="8">
        <v>0</v>
      </c>
      <c r="P55" s="8">
        <f>SUM(K55:O55)</f>
        <v>857415</v>
      </c>
    </row>
    <row r="56" spans="1:16" x14ac:dyDescent="0.2">
      <c r="A56" s="528" t="s">
        <v>111</v>
      </c>
      <c r="B56" s="528"/>
      <c r="C56" s="528"/>
      <c r="D56" s="528"/>
      <c r="E56" s="528"/>
      <c r="F56" s="528"/>
      <c r="G56" s="1">
        <v>6422878.1100000003</v>
      </c>
      <c r="H56" s="40">
        <f t="shared" ref="H56" si="9">H55+SUM(D56:G56)</f>
        <v>5953020.4973100005</v>
      </c>
      <c r="J56" s="151" t="s">
        <v>140</v>
      </c>
      <c r="K56" s="8">
        <v>15697154</v>
      </c>
      <c r="L56" s="8">
        <f>12914341+3958</f>
        <v>12918299</v>
      </c>
      <c r="M56" s="8">
        <f>352170+491</f>
        <v>352661</v>
      </c>
      <c r="N56" s="8">
        <f>192646+1908901</f>
        <v>2101547</v>
      </c>
      <c r="O56" s="8">
        <v>230233</v>
      </c>
      <c r="P56" s="8">
        <f>SUM(K56:O56)</f>
        <v>31299894</v>
      </c>
    </row>
    <row r="57" spans="1:16" x14ac:dyDescent="0.2">
      <c r="A57" s="6">
        <f>'FERC Interest Rates'!A92</f>
        <v>43799</v>
      </c>
      <c r="B57" s="36" t="s">
        <v>33</v>
      </c>
      <c r="C57" s="37">
        <v>32157309</v>
      </c>
      <c r="D57" s="42"/>
      <c r="E57" s="67">
        <f>ROUND((P55*-0.02634)+(P56*-0.02516),2)+0.01</f>
        <v>-810089.63</v>
      </c>
      <c r="F57" s="35">
        <f>ROUND(H56*VLOOKUP(A57,FERCINT19,2)/365*VLOOKUP(A57,FERCINT19,3),2)</f>
        <v>26519.48</v>
      </c>
      <c r="H57" s="40">
        <f>H56+SUM(D57:G57)</f>
        <v>5169450.3473100001</v>
      </c>
      <c r="J57" s="151" t="s">
        <v>3</v>
      </c>
      <c r="K57" s="66">
        <f t="shared" ref="K57:O57" si="10">SUM(K55:K56)</f>
        <v>15903738</v>
      </c>
      <c r="L57" s="66">
        <f t="shared" si="10"/>
        <v>11843537</v>
      </c>
      <c r="M57" s="66">
        <f t="shared" si="10"/>
        <v>1159114</v>
      </c>
      <c r="N57" s="66">
        <f t="shared" si="10"/>
        <v>3020687</v>
      </c>
      <c r="O57" s="66">
        <f t="shared" si="10"/>
        <v>230233</v>
      </c>
      <c r="P57" s="66">
        <f>SUM(P55:P56)</f>
        <v>32157309</v>
      </c>
    </row>
    <row r="58" spans="1:16" x14ac:dyDescent="0.2">
      <c r="A58" s="6">
        <f>'FERC Interest Rates'!A93</f>
        <v>43830</v>
      </c>
      <c r="B58" s="152">
        <v>-2.5159999999999998E-2</v>
      </c>
      <c r="C58" s="37">
        <f>'Therm Sales'!I78+'Therm Sales'!Q78+'Therm Sales'!R78</f>
        <v>37961295</v>
      </c>
      <c r="D58" s="42"/>
      <c r="E58" s="56">
        <f>ROUND(C58*B58,2)-0.02</f>
        <v>-955106.20000000007</v>
      </c>
      <c r="F58" s="35">
        <f>ROUND(H57*VLOOKUP(A58,FERCINT19,2)/365*VLOOKUP(A58,FERCINT19,3),2)</f>
        <v>23796.47</v>
      </c>
      <c r="H58" s="40">
        <f t="shared" ref="H58:H81" si="11">H57+SUM(D58:G58)</f>
        <v>4238140.6173099997</v>
      </c>
    </row>
    <row r="59" spans="1:16" x14ac:dyDescent="0.2">
      <c r="A59" s="6">
        <f>'FERC Interest Rates'!A94</f>
        <v>43861</v>
      </c>
      <c r="B59" s="152">
        <v>-2.5159999999999998E-2</v>
      </c>
      <c r="C59" s="37">
        <f>'Therm Sales'!I79+'Therm Sales'!Q79+'Therm Sales'!R79</f>
        <v>37163140</v>
      </c>
      <c r="D59" s="42"/>
      <c r="E59" s="32">
        <f t="shared" ref="E59:E66" si="12">ROUND(C59*B59,2)</f>
        <v>-935024.6</v>
      </c>
      <c r="F59" s="35">
        <f t="shared" ref="F59:F71" si="13">ROUND(H58*VLOOKUP(A59,FERCINT20,2)/365*VLOOKUP(A59,FERCINT20,3),2)</f>
        <v>17853.599999999999</v>
      </c>
      <c r="H59" s="40">
        <f t="shared" si="11"/>
        <v>3320969.6173099997</v>
      </c>
    </row>
    <row r="60" spans="1:16" x14ac:dyDescent="0.2">
      <c r="A60" s="6">
        <f>'FERC Interest Rates'!A95</f>
        <v>43890</v>
      </c>
      <c r="B60" s="152">
        <v>-2.5159999999999998E-2</v>
      </c>
      <c r="C60" s="37">
        <f>'Therm Sales'!I80+'Therm Sales'!Q80+'Therm Sales'!R80</f>
        <v>33451284</v>
      </c>
      <c r="D60" s="42"/>
      <c r="E60" s="56">
        <f>ROUND(C60*B60,2)+0.02</f>
        <v>-841634.29</v>
      </c>
      <c r="F60" s="35">
        <f t="shared" si="13"/>
        <v>13087.35</v>
      </c>
      <c r="H60" s="40">
        <f t="shared" si="11"/>
        <v>2492422.6773099997</v>
      </c>
    </row>
    <row r="61" spans="1:16" x14ac:dyDescent="0.2">
      <c r="A61" s="6">
        <f>'FERC Interest Rates'!A96</f>
        <v>43921</v>
      </c>
      <c r="B61" s="152">
        <v>-2.5159999999999998E-2</v>
      </c>
      <c r="C61" s="37">
        <f>'Therm Sales'!I81+'Therm Sales'!Q81+'Therm Sales'!R81</f>
        <v>30285335</v>
      </c>
      <c r="D61" s="42"/>
      <c r="E61" s="56">
        <f>ROUND(C61*B61,2)-0.01</f>
        <v>-761979.04</v>
      </c>
      <c r="F61" s="35">
        <f t="shared" si="13"/>
        <v>10499.59</v>
      </c>
      <c r="H61" s="40">
        <f t="shared" si="11"/>
        <v>1740943.2273099995</v>
      </c>
    </row>
    <row r="62" spans="1:16" x14ac:dyDescent="0.2">
      <c r="A62" s="6">
        <f>'FERC Interest Rates'!A97</f>
        <v>43951</v>
      </c>
      <c r="B62" s="152">
        <v>-2.5159999999999998E-2</v>
      </c>
      <c r="C62" s="37">
        <f>'Therm Sales'!I82+'Therm Sales'!Q82+'Therm Sales'!R82</f>
        <v>17186956</v>
      </c>
      <c r="D62" s="42"/>
      <c r="E62" s="56">
        <f>ROUND(C62*B62,2)-0.01</f>
        <v>-432423.82</v>
      </c>
      <c r="F62" s="35">
        <f t="shared" si="13"/>
        <v>6796.83</v>
      </c>
      <c r="H62" s="40">
        <f t="shared" si="11"/>
        <v>1315316.2373099995</v>
      </c>
    </row>
    <row r="63" spans="1:16" x14ac:dyDescent="0.2">
      <c r="A63" s="6">
        <f>'FERC Interest Rates'!A98</f>
        <v>43982</v>
      </c>
      <c r="B63" s="152">
        <v>-2.5159999999999998E-2</v>
      </c>
      <c r="C63" s="37">
        <f>'Therm Sales'!I83+'Therm Sales'!Q83+'Therm Sales'!R83</f>
        <v>11155791</v>
      </c>
      <c r="D63" s="42"/>
      <c r="E63" s="32">
        <f t="shared" si="12"/>
        <v>-280679.7</v>
      </c>
      <c r="F63" s="35">
        <f t="shared" si="13"/>
        <v>5306.31</v>
      </c>
      <c r="H63" s="40">
        <f t="shared" si="11"/>
        <v>1039942.8473099995</v>
      </c>
    </row>
    <row r="64" spans="1:16" x14ac:dyDescent="0.2">
      <c r="A64" s="6">
        <f>'FERC Interest Rates'!A99</f>
        <v>44012</v>
      </c>
      <c r="B64" s="152">
        <v>-2.5159999999999998E-2</v>
      </c>
      <c r="C64" s="37">
        <f>'Therm Sales'!I84+'Therm Sales'!Q84+'Therm Sales'!R84</f>
        <v>8646465</v>
      </c>
      <c r="D64" s="42"/>
      <c r="E64" s="32">
        <f t="shared" si="12"/>
        <v>-217545.06</v>
      </c>
      <c r="F64" s="35">
        <f t="shared" si="13"/>
        <v>4060.05</v>
      </c>
      <c r="H64" s="40">
        <f t="shared" si="11"/>
        <v>826457.83730999951</v>
      </c>
    </row>
    <row r="65" spans="1:16" x14ac:dyDescent="0.2">
      <c r="A65" s="6">
        <f>'FERC Interest Rates'!A100</f>
        <v>44043</v>
      </c>
      <c r="B65" s="152">
        <v>-2.5159999999999998E-2</v>
      </c>
      <c r="C65" s="37">
        <f>'Therm Sales'!I85+'Therm Sales'!Q85+'Therm Sales'!R85</f>
        <v>8367522</v>
      </c>
      <c r="D65" s="42"/>
      <c r="E65" s="32">
        <f t="shared" si="12"/>
        <v>-210526.85</v>
      </c>
      <c r="F65" s="35">
        <f t="shared" si="13"/>
        <v>2407.6</v>
      </c>
      <c r="H65" s="40">
        <f t="shared" si="11"/>
        <v>618338.58730999951</v>
      </c>
    </row>
    <row r="66" spans="1:16" x14ac:dyDescent="0.2">
      <c r="A66" s="6">
        <f>'FERC Interest Rates'!A101</f>
        <v>44074</v>
      </c>
      <c r="B66" s="152">
        <v>-2.5159999999999998E-2</v>
      </c>
      <c r="C66" s="37">
        <f>'Therm Sales'!I86+'Therm Sales'!Q86+'Therm Sales'!R86</f>
        <v>7953599</v>
      </c>
      <c r="D66" s="42"/>
      <c r="E66" s="32">
        <f t="shared" si="12"/>
        <v>-200112.55</v>
      </c>
      <c r="F66" s="35">
        <f t="shared" si="13"/>
        <v>1801.31</v>
      </c>
      <c r="H66" s="40">
        <f t="shared" si="11"/>
        <v>420027.34730999952</v>
      </c>
      <c r="K66" s="571" t="s">
        <v>160</v>
      </c>
      <c r="L66" s="571"/>
    </row>
    <row r="67" spans="1:16" x14ac:dyDescent="0.2">
      <c r="A67" s="6">
        <f>'FERC Interest Rates'!A102</f>
        <v>44104</v>
      </c>
      <c r="B67" s="152">
        <v>-2.5159999999999998E-2</v>
      </c>
      <c r="C67" s="37">
        <f>'Therm Sales'!I87+'Therm Sales'!Q87+'Therm Sales'!R87</f>
        <v>8583544</v>
      </c>
      <c r="D67" s="42"/>
      <c r="E67" s="56">
        <f>ROUND(C67*B67,2)+0.01</f>
        <v>-215961.96</v>
      </c>
      <c r="F67" s="35">
        <f t="shared" si="13"/>
        <v>1184.1300000000001</v>
      </c>
      <c r="H67" s="40">
        <f t="shared" si="11"/>
        <v>205249.51730999953</v>
      </c>
      <c r="K67" s="15">
        <v>503</v>
      </c>
      <c r="L67" s="15">
        <v>504</v>
      </c>
      <c r="M67" s="15">
        <v>505</v>
      </c>
      <c r="N67" s="15">
        <v>511</v>
      </c>
      <c r="O67" s="15">
        <v>570</v>
      </c>
      <c r="P67" s="15" t="s">
        <v>3</v>
      </c>
    </row>
    <row r="68" spans="1:16" x14ac:dyDescent="0.2">
      <c r="A68" s="6">
        <f>'FERC Interest Rates'!A103</f>
        <v>44135</v>
      </c>
      <c r="B68" s="152">
        <v>-2.5159999999999998E-2</v>
      </c>
      <c r="C68" s="37">
        <f>'Therm Sales'!I88+'Therm Sales'!Q88+'Therm Sales'!R88</f>
        <v>17325199</v>
      </c>
      <c r="D68" s="42"/>
      <c r="E68" s="56">
        <f>ROUND(C68*B68,2)+0.01</f>
        <v>-435902</v>
      </c>
      <c r="F68" s="35">
        <f t="shared" si="13"/>
        <v>566.54</v>
      </c>
      <c r="H68" s="40">
        <f t="shared" si="11"/>
        <v>-230085.94269000049</v>
      </c>
      <c r="J68" s="160" t="s">
        <v>139</v>
      </c>
      <c r="K68" s="8">
        <f>6886950-5866478</f>
        <v>1020472</v>
      </c>
      <c r="L68" s="8">
        <f>4428383-5961158</f>
        <v>-1532775</v>
      </c>
      <c r="M68" s="8">
        <v>615235</v>
      </c>
      <c r="N68" s="8">
        <v>794742</v>
      </c>
      <c r="O68" s="8">
        <v>0</v>
      </c>
      <c r="P68" s="8">
        <f t="shared" ref="P68:P69" si="14">SUM(K68:O68)</f>
        <v>897674</v>
      </c>
    </row>
    <row r="69" spans="1:16" x14ac:dyDescent="0.2">
      <c r="A69" s="528" t="s">
        <v>111</v>
      </c>
      <c r="B69" s="528"/>
      <c r="C69" s="528"/>
      <c r="D69" s="528"/>
      <c r="E69" s="528"/>
      <c r="F69" s="528"/>
      <c r="G69" s="146">
        <v>6765400.3600000003</v>
      </c>
      <c r="H69" s="40">
        <f t="shared" si="11"/>
        <v>6535314.4173099995</v>
      </c>
      <c r="J69" s="160" t="s">
        <v>140</v>
      </c>
      <c r="K69" s="8">
        <f>3564962+12357910</f>
        <v>15922872</v>
      </c>
      <c r="L69" s="8">
        <f>2065500+8615743</f>
        <v>10681243</v>
      </c>
      <c r="M69" s="8">
        <v>255052</v>
      </c>
      <c r="N69" s="8">
        <v>449749</v>
      </c>
      <c r="O69" s="8">
        <v>220318</v>
      </c>
      <c r="P69" s="8">
        <f t="shared" si="14"/>
        <v>27529234</v>
      </c>
    </row>
    <row r="70" spans="1:16" x14ac:dyDescent="0.2">
      <c r="A70" s="6">
        <f>'FERC Interest Rates'!A104</f>
        <v>44165</v>
      </c>
      <c r="B70" s="36" t="s">
        <v>33</v>
      </c>
      <c r="C70" s="37">
        <f>'Therm Sales'!I89+'Therm Sales'!Q89+'Therm Sales'!R89</f>
        <v>28426908</v>
      </c>
      <c r="D70" s="42"/>
      <c r="E70" s="166">
        <f>ROUND((P68*-0.02516)+(P69*-0.02515),2)-0.01</f>
        <v>-714945.72</v>
      </c>
      <c r="F70" s="35">
        <f t="shared" si="13"/>
        <v>17457.349999999999</v>
      </c>
      <c r="H70" s="40">
        <f t="shared" si="11"/>
        <v>5837826.0473099994</v>
      </c>
      <c r="J70" s="160" t="s">
        <v>3</v>
      </c>
      <c r="K70" s="66">
        <f t="shared" ref="K70:O70" si="15">SUM(K68:K69)</f>
        <v>16943344</v>
      </c>
      <c r="L70" s="66">
        <f t="shared" si="15"/>
        <v>9148468</v>
      </c>
      <c r="M70" s="66">
        <f t="shared" si="15"/>
        <v>870287</v>
      </c>
      <c r="N70" s="66">
        <f t="shared" si="15"/>
        <v>1244491</v>
      </c>
      <c r="O70" s="66">
        <f t="shared" si="15"/>
        <v>220318</v>
      </c>
      <c r="P70" s="66">
        <f>SUM(P68:P69)</f>
        <v>28426908</v>
      </c>
    </row>
    <row r="71" spans="1:16" x14ac:dyDescent="0.2">
      <c r="A71" s="6">
        <f>'FERC Interest Rates'!A105</f>
        <v>44196</v>
      </c>
      <c r="B71" s="152">
        <v>-2.5149999999999999E-2</v>
      </c>
      <c r="C71" s="37">
        <f>'Therm Sales'!I90+'Therm Sales'!Q90+'Therm Sales'!R90</f>
        <v>35858466</v>
      </c>
      <c r="D71" s="42"/>
      <c r="E71" s="56">
        <f>ROUND(C71*B71,2)-0.01</f>
        <v>-901840.43</v>
      </c>
      <c r="F71" s="35">
        <f t="shared" si="13"/>
        <v>16114</v>
      </c>
      <c r="H71" s="40">
        <f t="shared" si="11"/>
        <v>4952099.6173099997</v>
      </c>
    </row>
    <row r="72" spans="1:16" x14ac:dyDescent="0.2">
      <c r="A72" s="6">
        <f>'FERC Interest Rates'!A106</f>
        <v>44227</v>
      </c>
      <c r="B72" s="152">
        <v>-2.5149999999999999E-2</v>
      </c>
      <c r="C72" s="37">
        <f>'Therm Sales'!I91+'Therm Sales'!Q91+'Therm Sales'!R91</f>
        <v>35035678</v>
      </c>
      <c r="D72" s="42"/>
      <c r="E72" s="32">
        <f t="shared" ref="E72:E77" si="16">ROUND(C72*B72,2)</f>
        <v>-881147.3</v>
      </c>
      <c r="F72" s="35">
        <f t="shared" ref="F72:F81" si="17">ROUND(H71*VLOOKUP(A72,FERCINT21,2)/365*VLOOKUP(A72,FERCINT21,3),2)</f>
        <v>13669.15</v>
      </c>
      <c r="H72" s="40">
        <f t="shared" si="11"/>
        <v>4084621.4673099997</v>
      </c>
    </row>
    <row r="73" spans="1:16" x14ac:dyDescent="0.2">
      <c r="A73" s="6">
        <f>'FERC Interest Rates'!A107</f>
        <v>44255</v>
      </c>
      <c r="B73" s="152">
        <v>-2.5149999999999999E-2</v>
      </c>
      <c r="C73" s="37">
        <f>'Therm Sales'!I92+'Therm Sales'!Q92+'Therm Sales'!R92</f>
        <v>35605292</v>
      </c>
      <c r="D73" s="42"/>
      <c r="E73" s="32">
        <f t="shared" si="16"/>
        <v>-895473.09</v>
      </c>
      <c r="F73" s="35">
        <f t="shared" si="17"/>
        <v>10183.58</v>
      </c>
      <c r="H73" s="40">
        <f t="shared" si="11"/>
        <v>3199331.9573099995</v>
      </c>
    </row>
    <row r="74" spans="1:16" x14ac:dyDescent="0.2">
      <c r="A74" s="6">
        <f>'FERC Interest Rates'!A108</f>
        <v>44286</v>
      </c>
      <c r="B74" s="152">
        <v>-2.5149999999999999E-2</v>
      </c>
      <c r="C74" s="37">
        <f>'Therm Sales'!I93+'Therm Sales'!Q93+'Therm Sales'!R93</f>
        <v>28293547</v>
      </c>
      <c r="D74" s="42"/>
      <c r="E74" s="56">
        <f>ROUND(C74*B74,2)+0.01</f>
        <v>-711582.7</v>
      </c>
      <c r="F74" s="35">
        <f t="shared" si="17"/>
        <v>8831.0300000000007</v>
      </c>
      <c r="H74" s="40">
        <f t="shared" si="11"/>
        <v>2496580.2873099996</v>
      </c>
    </row>
    <row r="75" spans="1:16" x14ac:dyDescent="0.2">
      <c r="A75" s="6">
        <f>'FERC Interest Rates'!A109</f>
        <v>44316</v>
      </c>
      <c r="B75" s="152">
        <v>-2.5149999999999999E-2</v>
      </c>
      <c r="C75" s="37">
        <f>'Therm Sales'!I94+'Therm Sales'!Q94+'Therm Sales'!R94</f>
        <v>16513451</v>
      </c>
      <c r="D75" s="42"/>
      <c r="E75" s="56">
        <f>ROUND(C75*B75,2)-0.01</f>
        <v>-415313.3</v>
      </c>
      <c r="F75" s="35">
        <f t="shared" si="17"/>
        <v>6668.95</v>
      </c>
      <c r="H75" s="40">
        <f t="shared" si="11"/>
        <v>2087935.9373099995</v>
      </c>
    </row>
    <row r="76" spans="1:16" x14ac:dyDescent="0.2">
      <c r="A76" s="6">
        <f>'FERC Interest Rates'!A110</f>
        <v>44347</v>
      </c>
      <c r="B76" s="152">
        <v>-2.5149999999999999E-2</v>
      </c>
      <c r="C76" s="37">
        <f>'Therm Sales'!I95+'Therm Sales'!Q95+'Therm Sales'!R95</f>
        <v>11169448</v>
      </c>
      <c r="D76" s="42"/>
      <c r="E76" s="56">
        <f>ROUND(C76*B76,2)+0.01</f>
        <v>-280911.61</v>
      </c>
      <c r="F76" s="35">
        <f t="shared" si="17"/>
        <v>5763.28</v>
      </c>
      <c r="H76" s="40">
        <f t="shared" si="11"/>
        <v>1812787.6073099994</v>
      </c>
    </row>
    <row r="77" spans="1:16" x14ac:dyDescent="0.2">
      <c r="A77" s="6">
        <f>'FERC Interest Rates'!A111</f>
        <v>44377</v>
      </c>
      <c r="B77" s="152">
        <v>-2.5149999999999999E-2</v>
      </c>
      <c r="C77" s="37">
        <f>'Therm Sales'!I96+'Therm Sales'!Q96+'Therm Sales'!R96</f>
        <v>7157959</v>
      </c>
      <c r="D77" s="42"/>
      <c r="E77" s="32">
        <f t="shared" si="16"/>
        <v>-180022.67</v>
      </c>
      <c r="F77" s="35">
        <f t="shared" si="17"/>
        <v>4842.38</v>
      </c>
      <c r="H77" s="40">
        <f t="shared" si="11"/>
        <v>1637607.3173099994</v>
      </c>
    </row>
    <row r="78" spans="1:16" x14ac:dyDescent="0.2">
      <c r="A78" s="6">
        <f>'FERC Interest Rates'!A112</f>
        <v>44408</v>
      </c>
      <c r="B78" s="152">
        <v>-2.5149999999999999E-2</v>
      </c>
      <c r="C78" s="37">
        <f>'Therm Sales'!I97+'Therm Sales'!Q97+'Therm Sales'!R97</f>
        <v>8809945</v>
      </c>
      <c r="D78" s="42"/>
      <c r="E78" s="56">
        <f>ROUND(C78*B78,2)-0.01</f>
        <v>-221570.13</v>
      </c>
      <c r="F78" s="35">
        <f t="shared" si="17"/>
        <v>4520.24</v>
      </c>
      <c r="H78" s="40">
        <f t="shared" si="11"/>
        <v>1420557.4273099992</v>
      </c>
    </row>
    <row r="79" spans="1:16" x14ac:dyDescent="0.2">
      <c r="A79" s="6">
        <f>'FERC Interest Rates'!A113</f>
        <v>44439</v>
      </c>
      <c r="B79" s="152">
        <v>-2.5149999999999999E-2</v>
      </c>
      <c r="C79" s="37">
        <f>'Therm Sales'!I98+'Therm Sales'!Q98+'Therm Sales'!R98</f>
        <v>6661676</v>
      </c>
      <c r="D79" s="42"/>
      <c r="E79" s="56">
        <f>ROUND(C79*B79,2)-0.01</f>
        <v>-167541.16</v>
      </c>
      <c r="F79" s="35">
        <f t="shared" si="17"/>
        <v>3921.13</v>
      </c>
      <c r="H79" s="40">
        <f t="shared" si="11"/>
        <v>1256937.3973099992</v>
      </c>
      <c r="K79" s="571" t="s">
        <v>160</v>
      </c>
      <c r="L79" s="571"/>
    </row>
    <row r="80" spans="1:16" x14ac:dyDescent="0.2">
      <c r="A80" s="6">
        <f>'FERC Interest Rates'!A114</f>
        <v>44469</v>
      </c>
      <c r="B80" s="152">
        <v>-2.5149999999999999E-2</v>
      </c>
      <c r="C80" s="37">
        <f>'Therm Sales'!I99+'Therm Sales'!Q99+'Therm Sales'!R99</f>
        <v>9031978</v>
      </c>
      <c r="D80" s="42"/>
      <c r="E80" s="56">
        <f>ROUND(C80*B80,2)+0.01</f>
        <v>-227154.24</v>
      </c>
      <c r="F80" s="35">
        <f t="shared" si="17"/>
        <v>3357.57</v>
      </c>
      <c r="H80" s="40">
        <f t="shared" si="11"/>
        <v>1033140.7273099993</v>
      </c>
      <c r="K80" s="15">
        <v>503</v>
      </c>
      <c r="L80" s="15">
        <v>504</v>
      </c>
      <c r="M80" s="15">
        <v>505</v>
      </c>
      <c r="N80" s="15">
        <v>511</v>
      </c>
      <c r="O80" s="15">
        <v>570</v>
      </c>
      <c r="P80" s="15" t="s">
        <v>3</v>
      </c>
    </row>
    <row r="81" spans="1:16" x14ac:dyDescent="0.2">
      <c r="A81" s="6">
        <f>'FERC Interest Rates'!A115</f>
        <v>44500</v>
      </c>
      <c r="B81" s="152">
        <v>-2.5149999999999999E-2</v>
      </c>
      <c r="C81" s="37">
        <f>'Therm Sales'!I100+'Therm Sales'!Q100+'Therm Sales'!R100</f>
        <v>17997712</v>
      </c>
      <c r="D81" s="42"/>
      <c r="E81" s="56">
        <f>ROUND(C81*B81,2)+0.01</f>
        <v>-452642.45</v>
      </c>
      <c r="F81" s="35">
        <f t="shared" si="17"/>
        <v>2851.75</v>
      </c>
      <c r="H81" s="40">
        <f t="shared" si="11"/>
        <v>583350.02730999934</v>
      </c>
      <c r="J81" s="180" t="s">
        <v>139</v>
      </c>
      <c r="K81" s="8">
        <f>6875152-6025339</f>
        <v>849813</v>
      </c>
      <c r="L81" s="8">
        <f>3066+4648667-3066-5048872</f>
        <v>-400205</v>
      </c>
      <c r="M81" s="8">
        <v>687044</v>
      </c>
      <c r="N81" s="8">
        <f>554223+32136+274192-32136</f>
        <v>828415</v>
      </c>
      <c r="O81" s="8">
        <f>188282-188282</f>
        <v>0</v>
      </c>
      <c r="P81" s="8">
        <f t="shared" ref="P81:P82" si="18">SUM(K81:O81)</f>
        <v>1965067</v>
      </c>
    </row>
    <row r="82" spans="1:16" x14ac:dyDescent="0.2">
      <c r="A82" s="528" t="s">
        <v>111</v>
      </c>
      <c r="B82" s="528"/>
      <c r="C82" s="528"/>
      <c r="D82" s="528"/>
      <c r="E82" s="528"/>
      <c r="F82" s="528"/>
      <c r="G82" s="146">
        <v>6455177.71</v>
      </c>
      <c r="H82" s="40">
        <f t="shared" ref="H82:H83" si="19">H81+SUM(D82:G82)</f>
        <v>7038527.7373099998</v>
      </c>
      <c r="J82" s="180" t="s">
        <v>140</v>
      </c>
      <c r="K82" s="8">
        <f>3055417+11107830</f>
        <v>14163247</v>
      </c>
      <c r="L82" s="8">
        <f>1834948+8093139+5052</f>
        <v>9933139</v>
      </c>
      <c r="M82" s="8">
        <v>241794</v>
      </c>
      <c r="N82" s="8">
        <f>233326+98046+80816</f>
        <v>412188</v>
      </c>
      <c r="O82" s="8">
        <v>215369</v>
      </c>
      <c r="P82" s="8">
        <f t="shared" si="18"/>
        <v>24965737</v>
      </c>
    </row>
    <row r="83" spans="1:16" x14ac:dyDescent="0.2">
      <c r="A83" s="6">
        <f>'FERC Interest Rates'!A116</f>
        <v>44530</v>
      </c>
      <c r="B83" s="36" t="s">
        <v>33</v>
      </c>
      <c r="C83" s="37">
        <f>'Therm Sales'!I101+'Therm Sales'!Q101+'Therm Sales'!R101</f>
        <v>26930804</v>
      </c>
      <c r="D83" s="42"/>
      <c r="E83" s="166">
        <f>ROUND((P81*-0.02515)+(P82*-0.0287),2)-0.01</f>
        <v>-765938.1</v>
      </c>
      <c r="F83" s="35">
        <f t="shared" ref="F83" si="20">ROUND(H82*VLOOKUP(A83,FERCINT21,2)/365*VLOOKUP(A83,FERCINT21,3),2)</f>
        <v>18801.55</v>
      </c>
      <c r="H83" s="40">
        <f t="shared" si="19"/>
        <v>6291391.18731</v>
      </c>
      <c r="J83" s="180" t="s">
        <v>3</v>
      </c>
      <c r="K83" s="66">
        <f t="shared" ref="K83:O83" si="21">SUM(K81:K82)</f>
        <v>15013060</v>
      </c>
      <c r="L83" s="66">
        <f t="shared" si="21"/>
        <v>9532934</v>
      </c>
      <c r="M83" s="66">
        <f t="shared" si="21"/>
        <v>928838</v>
      </c>
      <c r="N83" s="66">
        <f t="shared" si="21"/>
        <v>1240603</v>
      </c>
      <c r="O83" s="66">
        <f t="shared" si="21"/>
        <v>215369</v>
      </c>
      <c r="P83" s="66">
        <f>SUM(P81:P82)</f>
        <v>26930804</v>
      </c>
    </row>
    <row r="84" spans="1:16" x14ac:dyDescent="0.2">
      <c r="A84" s="6">
        <f>'FERC Interest Rates'!A117</f>
        <v>44561</v>
      </c>
      <c r="B84" s="152">
        <v>-2.87E-2</v>
      </c>
      <c r="C84" s="37">
        <f>'Therm Sales'!I102+'Therm Sales'!Q102+'Therm Sales'!R102</f>
        <v>43689168</v>
      </c>
      <c r="D84" s="42"/>
      <c r="E84" s="56">
        <f>ROUND(C84*B84,2)+0.01</f>
        <v>-1253879.1100000001</v>
      </c>
      <c r="F84" s="35">
        <f t="shared" ref="F84" si="22">ROUND(H83*VLOOKUP(A84,FERCINT21,2)/365*VLOOKUP(A84,FERCINT21,3),2)</f>
        <v>17365.96</v>
      </c>
      <c r="H84" s="40">
        <f t="shared" ref="H84:H85" si="23">H83+SUM(D84:G84)</f>
        <v>5054878.0373099996</v>
      </c>
    </row>
    <row r="85" spans="1:16" x14ac:dyDescent="0.2">
      <c r="A85" s="6">
        <f>'FERC Interest Rates'!A118</f>
        <v>44592</v>
      </c>
      <c r="B85" s="152">
        <v>-2.87E-2</v>
      </c>
      <c r="C85" s="37">
        <f>'Therm Sales'!I103+'Therm Sales'!Q103+'Therm Sales'!R103</f>
        <v>43481545</v>
      </c>
      <c r="D85" s="42"/>
      <c r="E85" s="56">
        <f>ROUND(C85*B85,2)-0.01</f>
        <v>-1247920.3500000001</v>
      </c>
      <c r="F85" s="35">
        <f t="shared" ref="F85:F90" si="24">ROUND(H84*VLOOKUP(A85,FERCINT22,2)/365*VLOOKUP(A85,FERCINT22,3),2)</f>
        <v>13952.85</v>
      </c>
      <c r="H85" s="40">
        <f t="shared" si="23"/>
        <v>3820910.5373099996</v>
      </c>
    </row>
    <row r="86" spans="1:16" x14ac:dyDescent="0.2">
      <c r="A86" s="6">
        <f>'FERC Interest Rates'!A119</f>
        <v>44620</v>
      </c>
      <c r="B86" s="152">
        <v>-2.87E-2</v>
      </c>
      <c r="C86" s="37">
        <f>'Therm Sales'!I104+'Therm Sales'!Q104+'Therm Sales'!R104</f>
        <v>33971183</v>
      </c>
      <c r="D86" s="42"/>
      <c r="E86" s="32">
        <f t="shared" ref="E86:E88" si="25">ROUND(C86*B86,2)</f>
        <v>-974972.95</v>
      </c>
      <c r="F86" s="35">
        <f t="shared" si="24"/>
        <v>9526.11</v>
      </c>
      <c r="H86" s="40">
        <f t="shared" ref="H86:H90" si="26">H85+SUM(D86:G86)</f>
        <v>2855463.6973099997</v>
      </c>
    </row>
    <row r="87" spans="1:16" x14ac:dyDescent="0.2">
      <c r="A87" s="6">
        <f>'FERC Interest Rates'!A120</f>
        <v>44651</v>
      </c>
      <c r="B87" s="152">
        <v>-2.87E-2</v>
      </c>
      <c r="C87" s="37">
        <f>'Therm Sales'!I105+'Therm Sales'!Q105+'Therm Sales'!R105</f>
        <v>25524360</v>
      </c>
      <c r="D87" s="42"/>
      <c r="E87" s="32">
        <f t="shared" si="25"/>
        <v>-732549.13</v>
      </c>
      <c r="F87" s="35">
        <f t="shared" si="24"/>
        <v>7881.86</v>
      </c>
      <c r="H87" s="40">
        <f t="shared" si="26"/>
        <v>2130796.4273099997</v>
      </c>
    </row>
    <row r="88" spans="1:16" x14ac:dyDescent="0.2">
      <c r="A88" s="6">
        <f>'FERC Interest Rates'!A121</f>
        <v>44681</v>
      </c>
      <c r="B88" s="152">
        <v>-2.87E-2</v>
      </c>
      <c r="C88" s="37">
        <f>'Therm Sales'!I106+'Therm Sales'!Q106+'Therm Sales'!R106</f>
        <v>23378728</v>
      </c>
      <c r="D88" s="42"/>
      <c r="E88" s="32">
        <f t="shared" si="25"/>
        <v>-670969.49</v>
      </c>
      <c r="F88" s="35">
        <f t="shared" si="24"/>
        <v>5691.85</v>
      </c>
      <c r="H88" s="40">
        <f t="shared" si="26"/>
        <v>1465518.7873099996</v>
      </c>
    </row>
    <row r="89" spans="1:16" x14ac:dyDescent="0.2">
      <c r="A89" s="6">
        <f>'FERC Interest Rates'!A122</f>
        <v>44712</v>
      </c>
      <c r="B89" s="152">
        <v>-2.87E-2</v>
      </c>
      <c r="C89" s="37">
        <f>'Therm Sales'!I107+'Therm Sales'!Q107+'Therm Sales'!R107</f>
        <v>14826481</v>
      </c>
      <c r="D89" s="42"/>
      <c r="E89" s="56">
        <f>ROUND(C89*B89,2)-0.02</f>
        <v>-425520.02</v>
      </c>
      <c r="F89" s="35">
        <f t="shared" si="24"/>
        <v>4045.23</v>
      </c>
      <c r="H89" s="40">
        <f t="shared" si="26"/>
        <v>1044043.9973099995</v>
      </c>
    </row>
    <row r="90" spans="1:16" x14ac:dyDescent="0.2">
      <c r="A90" s="6">
        <f>'FERC Interest Rates'!A123</f>
        <v>44742</v>
      </c>
      <c r="B90" s="152">
        <v>-2.87E-2</v>
      </c>
      <c r="C90" s="37">
        <f>'Therm Sales'!I108+'Therm Sales'!Q108+'Therm Sales'!R108</f>
        <v>8436168</v>
      </c>
      <c r="D90" s="42"/>
      <c r="E90" s="56">
        <f>ROUND(C90*B90,2)+0.01</f>
        <v>-242118.00999999998</v>
      </c>
      <c r="F90" s="35">
        <f t="shared" si="24"/>
        <v>2788.88</v>
      </c>
      <c r="H90" s="40">
        <f t="shared" si="26"/>
        <v>804714.86730999954</v>
      </c>
    </row>
  </sheetData>
  <mergeCells count="27">
    <mergeCell ref="A82:F82"/>
    <mergeCell ref="K79:L79"/>
    <mergeCell ref="A69:F69"/>
    <mergeCell ref="A56:F56"/>
    <mergeCell ref="A1:B1"/>
    <mergeCell ref="C1:H1"/>
    <mergeCell ref="A2:B2"/>
    <mergeCell ref="C2:H2"/>
    <mergeCell ref="A3:B3"/>
    <mergeCell ref="C3:H3"/>
    <mergeCell ref="A4:B4"/>
    <mergeCell ref="C4:H4"/>
    <mergeCell ref="A5:B5"/>
    <mergeCell ref="C5:H5"/>
    <mergeCell ref="A6:B6"/>
    <mergeCell ref="C6:H6"/>
    <mergeCell ref="A43:F43"/>
    <mergeCell ref="A30:F30"/>
    <mergeCell ref="K66:L66"/>
    <mergeCell ref="A15:F15"/>
    <mergeCell ref="A16:F16"/>
    <mergeCell ref="A14:F14"/>
    <mergeCell ref="A7:B7"/>
    <mergeCell ref="C7:H7"/>
    <mergeCell ref="D9:F9"/>
    <mergeCell ref="A12:F12"/>
    <mergeCell ref="A13:F13"/>
  </mergeCells>
  <printOptions horizontalCentered="1"/>
  <pageMargins left="0.5" right="0.25" top="0.5" bottom="0.25" header="0.3" footer="0.3"/>
  <pageSetup scale="89" orientation="portrait" r:id="rId1"/>
  <headerFooter>
    <oddFooter>&amp;L&amp;"-,Bold"&amp;10Cascade Natural Gas Corporation&amp;C&amp;"-,Bold"&amp;10&amp;P of &amp;N&amp;R&amp;"-,Bold"&amp;10Washington Deferral Accounts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73"/>
  <sheetViews>
    <sheetView view="pageBreakPreview" zoomScale="75" zoomScaleNormal="100" zoomScaleSheetLayoutView="75" workbookViewId="0">
      <selection activeCell="H73" sqref="H73"/>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16384" width="8.88671875" style="1"/>
  </cols>
  <sheetData>
    <row r="1" spans="1:8" x14ac:dyDescent="0.2">
      <c r="A1" s="548" t="s">
        <v>13</v>
      </c>
      <c r="B1" s="549"/>
      <c r="C1" s="572" t="s">
        <v>14</v>
      </c>
      <c r="D1" s="572"/>
      <c r="E1" s="572"/>
      <c r="F1" s="572"/>
      <c r="G1" s="572"/>
      <c r="H1" s="573"/>
    </row>
    <row r="2" spans="1:8" x14ac:dyDescent="0.2">
      <c r="A2" s="541" t="s">
        <v>16</v>
      </c>
      <c r="B2" s="533"/>
      <c r="C2" s="574" t="s">
        <v>92</v>
      </c>
      <c r="D2" s="574"/>
      <c r="E2" s="574"/>
      <c r="F2" s="574"/>
      <c r="G2" s="574"/>
      <c r="H2" s="575"/>
    </row>
    <row r="3" spans="1:8" x14ac:dyDescent="0.2">
      <c r="A3" s="541" t="s">
        <v>17</v>
      </c>
      <c r="B3" s="533"/>
      <c r="C3" s="574" t="s">
        <v>109</v>
      </c>
      <c r="D3" s="574"/>
      <c r="E3" s="574"/>
      <c r="F3" s="574"/>
      <c r="G3" s="574"/>
      <c r="H3" s="575"/>
    </row>
    <row r="4" spans="1:8" x14ac:dyDescent="0.2">
      <c r="A4" s="541" t="s">
        <v>18</v>
      </c>
      <c r="B4" s="533"/>
      <c r="C4" s="574" t="s">
        <v>19</v>
      </c>
      <c r="D4" s="574"/>
      <c r="E4" s="574"/>
      <c r="F4" s="574"/>
      <c r="G4" s="574"/>
      <c r="H4" s="575"/>
    </row>
    <row r="5" spans="1:8" x14ac:dyDescent="0.2">
      <c r="A5" s="541" t="s">
        <v>20</v>
      </c>
      <c r="B5" s="533"/>
      <c r="C5" s="574" t="s">
        <v>188</v>
      </c>
      <c r="D5" s="574"/>
      <c r="E5" s="574"/>
      <c r="F5" s="574"/>
      <c r="G5" s="574"/>
      <c r="H5" s="575"/>
    </row>
    <row r="6" spans="1:8" x14ac:dyDescent="0.2">
      <c r="A6" s="541" t="s">
        <v>21</v>
      </c>
      <c r="B6" s="533"/>
      <c r="C6" s="534" t="s">
        <v>189</v>
      </c>
      <c r="D6" s="534"/>
      <c r="E6" s="534"/>
      <c r="F6" s="534"/>
      <c r="G6" s="534"/>
      <c r="H6" s="538"/>
    </row>
    <row r="7" spans="1:8" ht="14.25" customHeight="1" thickBot="1" x14ac:dyDescent="0.25">
      <c r="A7" s="542" t="s">
        <v>22</v>
      </c>
      <c r="B7" s="543"/>
      <c r="C7" s="569" t="s">
        <v>196</v>
      </c>
      <c r="D7" s="569"/>
      <c r="E7" s="569"/>
      <c r="F7" s="569"/>
      <c r="G7" s="569"/>
      <c r="H7" s="570"/>
    </row>
    <row r="8" spans="1:8" x14ac:dyDescent="0.2">
      <c r="A8" s="2"/>
      <c r="B8" s="2"/>
      <c r="C8" s="3"/>
      <c r="D8" s="3"/>
      <c r="E8" s="3"/>
      <c r="F8" s="3"/>
      <c r="G8" s="3"/>
      <c r="H8" s="3"/>
    </row>
    <row r="9" spans="1:8" x14ac:dyDescent="0.2">
      <c r="A9" s="4"/>
      <c r="D9" s="529" t="s">
        <v>38</v>
      </c>
      <c r="E9" s="529"/>
      <c r="F9" s="529"/>
    </row>
    <row r="10" spans="1:8" s="125" customFormat="1" ht="29.25" customHeight="1" x14ac:dyDescent="0.2">
      <c r="A10" s="5" t="s">
        <v>39</v>
      </c>
      <c r="B10" s="5" t="s">
        <v>4</v>
      </c>
      <c r="C10" s="5" t="s">
        <v>12</v>
      </c>
      <c r="D10" s="5" t="s">
        <v>23</v>
      </c>
      <c r="E10" s="5" t="s">
        <v>24</v>
      </c>
      <c r="F10" s="5" t="s">
        <v>2</v>
      </c>
      <c r="G10" s="5" t="s">
        <v>0</v>
      </c>
      <c r="H10" s="5" t="s">
        <v>1</v>
      </c>
    </row>
    <row r="11" spans="1:8" hidden="1" x14ac:dyDescent="0.2">
      <c r="A11" s="39"/>
      <c r="B11" s="39"/>
      <c r="C11" s="39"/>
      <c r="D11" s="39"/>
      <c r="E11" s="39"/>
      <c r="F11" s="39"/>
      <c r="G11" s="39"/>
      <c r="H11" s="34"/>
    </row>
    <row r="12" spans="1:8" hidden="1" x14ac:dyDescent="0.2">
      <c r="A12" s="568" t="s">
        <v>110</v>
      </c>
      <c r="B12" s="568"/>
      <c r="C12" s="568"/>
      <c r="D12" s="568"/>
      <c r="E12" s="568"/>
      <c r="F12" s="568"/>
      <c r="G12" s="34">
        <v>-195037.47</v>
      </c>
      <c r="H12" s="34"/>
    </row>
    <row r="13" spans="1:8" hidden="1" x14ac:dyDescent="0.2">
      <c r="A13" s="568"/>
      <c r="B13" s="568"/>
      <c r="C13" s="568"/>
      <c r="D13" s="568"/>
      <c r="E13" s="568"/>
      <c r="F13" s="568"/>
      <c r="G13" s="34"/>
      <c r="H13" s="34">
        <f>SUM(G12:G12)</f>
        <v>-195037.47</v>
      </c>
    </row>
    <row r="14" spans="1:8" hidden="1" x14ac:dyDescent="0.2">
      <c r="A14" s="33">
        <f>'FERC Interest Rates'!A68</f>
        <v>43069</v>
      </c>
      <c r="B14" s="64" t="s">
        <v>112</v>
      </c>
      <c r="C14" s="50">
        <f>+'Decoupling-Therm Sales'!M137</f>
        <v>7119326</v>
      </c>
      <c r="D14" s="34"/>
      <c r="E14" s="34">
        <f>'Decoupling-Therm Sales'!M267</f>
        <v>9648.1799999999985</v>
      </c>
      <c r="F14" s="34">
        <f>ROUND(H13*VLOOKUP(A14,FERCINT17,2)/365*VLOOKUP(A14,FERCINT17,3),2)</f>
        <v>-674.88</v>
      </c>
      <c r="G14" s="34"/>
      <c r="H14" s="34">
        <f>H13+SUM(E14:G14)</f>
        <v>-186064.17</v>
      </c>
    </row>
    <row r="15" spans="1:8" hidden="1" x14ac:dyDescent="0.2">
      <c r="A15" s="33">
        <f>'FERC Interest Rates'!A69</f>
        <v>43100</v>
      </c>
      <c r="B15" s="64" t="s">
        <v>112</v>
      </c>
      <c r="C15" s="50">
        <f>+'Decoupling-Therm Sales'!M138</f>
        <v>29973671</v>
      </c>
      <c r="D15" s="45"/>
      <c r="E15" s="32">
        <f>+'Decoupling-Therm Sales'!M268</f>
        <v>24422.739999999994</v>
      </c>
      <c r="F15" s="34">
        <f>ROUND(H14*VLOOKUP(A15,FERCINT17,2)/365*VLOOKUP(A15,FERCINT17,3),2)</f>
        <v>-665.29</v>
      </c>
      <c r="G15" s="34"/>
      <c r="H15" s="34">
        <f>H14+SUM(D15:G15)</f>
        <v>-162306.72000000003</v>
      </c>
    </row>
    <row r="16" spans="1:8" hidden="1" x14ac:dyDescent="0.2">
      <c r="A16" s="33">
        <f>'FERC Interest Rates'!A70</f>
        <v>43131</v>
      </c>
      <c r="B16" s="64" t="s">
        <v>112</v>
      </c>
      <c r="C16" s="50">
        <f>+'Decoupling-Therm Sales'!M139</f>
        <v>41563527</v>
      </c>
      <c r="D16" s="44"/>
      <c r="E16" s="32">
        <f>+'Decoupling-Therm Sales'!M269</f>
        <v>36897.270000000004</v>
      </c>
      <c r="F16" s="34">
        <f t="shared" ref="F16:F28" si="0">ROUND(H15*VLOOKUP(A16,FERCINT18,2)/365*VLOOKUP(A16,FERCINT18,3),2)</f>
        <v>-585.86</v>
      </c>
      <c r="G16" s="38"/>
      <c r="H16" s="40">
        <f>H15+SUM(D16:G16)</f>
        <v>-125995.31000000003</v>
      </c>
    </row>
    <row r="17" spans="1:8" hidden="1" x14ac:dyDescent="0.2">
      <c r="A17" s="33">
        <f>'FERC Interest Rates'!A71</f>
        <v>43159</v>
      </c>
      <c r="B17" s="64" t="s">
        <v>112</v>
      </c>
      <c r="C17" s="50">
        <f>+'Decoupling-Therm Sales'!M140</f>
        <v>29732218</v>
      </c>
      <c r="D17" s="44"/>
      <c r="E17" s="32">
        <f>+'Decoupling-Therm Sales'!M270</f>
        <v>25373.300000000003</v>
      </c>
      <c r="F17" s="34">
        <f t="shared" si="0"/>
        <v>-410.78</v>
      </c>
      <c r="G17" s="38"/>
      <c r="H17" s="40">
        <f t="shared" ref="H17:H38" si="1">H16+SUM(D17:G17)</f>
        <v>-101032.79000000002</v>
      </c>
    </row>
    <row r="18" spans="1:8" hidden="1" x14ac:dyDescent="0.2">
      <c r="A18" s="33">
        <f>'FERC Interest Rates'!A72</f>
        <v>43190</v>
      </c>
      <c r="B18" s="64" t="s">
        <v>112</v>
      </c>
      <c r="C18" s="50">
        <f>+'Decoupling-Therm Sales'!M141</f>
        <v>34772590</v>
      </c>
      <c r="D18" s="44"/>
      <c r="E18" s="32">
        <f>+'Decoupling-Therm Sales'!M271</f>
        <v>30383.489999999998</v>
      </c>
      <c r="F18" s="34">
        <f t="shared" si="0"/>
        <v>-364.69</v>
      </c>
      <c r="G18" s="38"/>
      <c r="H18" s="40">
        <f t="shared" si="1"/>
        <v>-71013.99000000002</v>
      </c>
    </row>
    <row r="19" spans="1:8" hidden="1" x14ac:dyDescent="0.2">
      <c r="A19" s="33">
        <f>'FERC Interest Rates'!A73</f>
        <v>43220</v>
      </c>
      <c r="B19" s="64" t="s">
        <v>112</v>
      </c>
      <c r="C19" s="50">
        <f>+'Decoupling-Therm Sales'!M142</f>
        <v>23972789</v>
      </c>
      <c r="D19" s="44"/>
      <c r="E19" s="32">
        <f>+'Decoupling-Therm Sales'!M272</f>
        <v>24119.02</v>
      </c>
      <c r="F19" s="34">
        <f t="shared" si="0"/>
        <v>-260.89999999999998</v>
      </c>
      <c r="G19" s="38"/>
      <c r="H19" s="40">
        <f t="shared" si="1"/>
        <v>-47155.870000000024</v>
      </c>
    </row>
    <row r="20" spans="1:8" hidden="1" x14ac:dyDescent="0.2">
      <c r="A20" s="33">
        <f>'FERC Interest Rates'!A74</f>
        <v>43251</v>
      </c>
      <c r="B20" s="64" t="s">
        <v>112</v>
      </c>
      <c r="C20" s="50">
        <f>+'Decoupling-Therm Sales'!M143</f>
        <v>14908800</v>
      </c>
      <c r="D20" s="44"/>
      <c r="E20" s="32">
        <f>+'Decoupling-Therm Sales'!M273</f>
        <v>17128.870000000003</v>
      </c>
      <c r="F20" s="34">
        <f t="shared" si="0"/>
        <v>-179.02</v>
      </c>
      <c r="G20" s="38"/>
      <c r="H20" s="40">
        <f t="shared" si="1"/>
        <v>-30206.020000000022</v>
      </c>
    </row>
    <row r="21" spans="1:8" hidden="1" x14ac:dyDescent="0.2">
      <c r="A21" s="33">
        <f>'FERC Interest Rates'!A75</f>
        <v>43281</v>
      </c>
      <c r="B21" s="64" t="s">
        <v>112</v>
      </c>
      <c r="C21" s="50">
        <f>+'Decoupling-Therm Sales'!M144</f>
        <v>8932302</v>
      </c>
      <c r="D21" s="44"/>
      <c r="E21" s="32">
        <f>+'Decoupling-Therm Sales'!M274</f>
        <v>10890.98</v>
      </c>
      <c r="F21" s="34">
        <f t="shared" si="0"/>
        <v>-110.98</v>
      </c>
      <c r="G21" s="38"/>
      <c r="H21" s="40">
        <f t="shared" si="1"/>
        <v>-19426.020000000022</v>
      </c>
    </row>
    <row r="22" spans="1:8" hidden="1" x14ac:dyDescent="0.2">
      <c r="A22" s="33">
        <f>'FERC Interest Rates'!A76</f>
        <v>43312</v>
      </c>
      <c r="B22" s="64" t="s">
        <v>112</v>
      </c>
      <c r="C22" s="50">
        <f>+'Decoupling-Therm Sales'!M145</f>
        <v>7315304</v>
      </c>
      <c r="D22" s="42"/>
      <c r="E22" s="32">
        <f>+'Decoupling-Therm Sales'!M275</f>
        <v>8881.7200000000012</v>
      </c>
      <c r="F22" s="34">
        <f t="shared" si="0"/>
        <v>-77.38</v>
      </c>
      <c r="H22" s="40">
        <f t="shared" si="1"/>
        <v>-10621.68000000002</v>
      </c>
    </row>
    <row r="23" spans="1:8" hidden="1" x14ac:dyDescent="0.2">
      <c r="A23" s="33">
        <f>'FERC Interest Rates'!A77</f>
        <v>43343</v>
      </c>
      <c r="B23" s="64" t="s">
        <v>112</v>
      </c>
      <c r="C23" s="50">
        <f>+'Decoupling-Therm Sales'!M146</f>
        <v>6809893</v>
      </c>
      <c r="D23" s="42"/>
      <c r="E23" s="32">
        <f>+'Decoupling-Therm Sales'!M276</f>
        <v>8075.5700000000006</v>
      </c>
      <c r="F23" s="34">
        <f t="shared" si="0"/>
        <v>-42.31</v>
      </c>
      <c r="H23" s="40">
        <f t="shared" si="1"/>
        <v>-2588.4200000000201</v>
      </c>
    </row>
    <row r="24" spans="1:8" hidden="1" x14ac:dyDescent="0.2">
      <c r="A24" s="33">
        <f>'FERC Interest Rates'!A78</f>
        <v>43373</v>
      </c>
      <c r="B24" s="64" t="s">
        <v>112</v>
      </c>
      <c r="C24" s="50">
        <f>+'Decoupling-Therm Sales'!M147</f>
        <v>6985938</v>
      </c>
      <c r="D24" s="42"/>
      <c r="E24" s="32">
        <f>+'Decoupling-Therm Sales'!M277</f>
        <v>6998.26</v>
      </c>
      <c r="F24" s="34">
        <f t="shared" si="0"/>
        <v>-9.98</v>
      </c>
      <c r="H24" s="40">
        <f t="shared" si="1"/>
        <v>4399.8599999999806</v>
      </c>
    </row>
    <row r="25" spans="1:8" hidden="1" x14ac:dyDescent="0.2">
      <c r="A25" s="33">
        <f>'FERC Interest Rates'!A79</f>
        <v>43404</v>
      </c>
      <c r="B25" s="64" t="s">
        <v>112</v>
      </c>
      <c r="C25" s="50">
        <f>+'Decoupling-Therm Sales'!M148</f>
        <v>11920068</v>
      </c>
      <c r="D25" s="42"/>
      <c r="E25" s="32">
        <f>+'Decoupling-Therm Sales'!M278</f>
        <v>14859.29</v>
      </c>
      <c r="F25" s="34">
        <f t="shared" si="0"/>
        <v>18.53</v>
      </c>
      <c r="H25" s="40">
        <f t="shared" si="1"/>
        <v>19277.679999999982</v>
      </c>
    </row>
    <row r="26" spans="1:8" hidden="1" x14ac:dyDescent="0.2">
      <c r="A26" s="568" t="s">
        <v>110</v>
      </c>
      <c r="B26" s="568"/>
      <c r="C26" s="568"/>
      <c r="D26" s="568"/>
      <c r="E26" s="568"/>
      <c r="F26" s="568"/>
      <c r="G26" s="34">
        <v>-6125923.8899999997</v>
      </c>
      <c r="H26" s="40">
        <f t="shared" si="1"/>
        <v>-6106646.21</v>
      </c>
    </row>
    <row r="27" spans="1:8" hidden="1" x14ac:dyDescent="0.2">
      <c r="A27" s="33">
        <f>'FERC Interest Rates'!A80</f>
        <v>43434</v>
      </c>
      <c r="B27" s="64" t="s">
        <v>33</v>
      </c>
      <c r="C27" s="50">
        <f>+'Decoupling-Therm Sales'!M149+'Decoupling-Therm Sales'!M150</f>
        <v>17302158</v>
      </c>
      <c r="D27" s="42"/>
      <c r="E27" s="32">
        <f>+'Decoupling-Therm Sales'!M279+'Decoupling-Therm Sales'!M280</f>
        <v>174187.14846999999</v>
      </c>
      <c r="F27" s="34">
        <f>ROUND(H25*VLOOKUP(A27,FERCINT18,2)/365*VLOOKUP(A27,FERCINT18,3),2)</f>
        <v>78.59</v>
      </c>
      <c r="H27" s="40">
        <f t="shared" si="1"/>
        <v>-5932380.4715299997</v>
      </c>
    </row>
    <row r="28" spans="1:8" hidden="1" x14ac:dyDescent="0.2">
      <c r="A28" s="33">
        <f>'FERC Interest Rates'!A81</f>
        <v>43465</v>
      </c>
      <c r="B28" s="64" t="s">
        <v>112</v>
      </c>
      <c r="C28" s="50">
        <f>+'Decoupling-Therm Sales'!M151</f>
        <v>31921099</v>
      </c>
      <c r="D28" s="42"/>
      <c r="E28" s="32">
        <f>+'Decoupling-Therm Sales'!M281</f>
        <v>868272.24000000011</v>
      </c>
      <c r="F28" s="34">
        <f t="shared" si="0"/>
        <v>-24990.76</v>
      </c>
      <c r="H28" s="40">
        <f t="shared" si="1"/>
        <v>-5089098.9915299993</v>
      </c>
    </row>
    <row r="29" spans="1:8" hidden="1" x14ac:dyDescent="0.2">
      <c r="A29" s="33">
        <f>'FERC Interest Rates'!A82</f>
        <v>43496</v>
      </c>
      <c r="B29" s="64" t="s">
        <v>112</v>
      </c>
      <c r="C29" s="50">
        <f>+'Decoupling-Therm Sales'!M152</f>
        <v>36049301</v>
      </c>
      <c r="D29" s="42"/>
      <c r="E29" s="32">
        <f>+'Decoupling-Therm Sales'!M282</f>
        <v>986847.90999999992</v>
      </c>
      <c r="F29" s="34">
        <f t="shared" ref="F29:F38" si="2">ROUND(H28*VLOOKUP(A29,FERCINT19,2)/365*VLOOKUP(A29,FERCINT19,3),2)</f>
        <v>-22389.25</v>
      </c>
      <c r="H29" s="40">
        <f t="shared" si="1"/>
        <v>-4124640.3315299992</v>
      </c>
    </row>
    <row r="30" spans="1:8" hidden="1" x14ac:dyDescent="0.2">
      <c r="A30" s="33">
        <f>'FERC Interest Rates'!A83</f>
        <v>43524</v>
      </c>
      <c r="B30" s="64" t="s">
        <v>112</v>
      </c>
      <c r="C30" s="50">
        <f>+'Decoupling-Therm Sales'!M153</f>
        <v>38560000</v>
      </c>
      <c r="D30" s="42"/>
      <c r="E30" s="32">
        <f>+'Decoupling-Therm Sales'!M283</f>
        <v>1051189.8899999999</v>
      </c>
      <c r="F30" s="34">
        <f t="shared" si="2"/>
        <v>-16390.080000000002</v>
      </c>
      <c r="H30" s="40">
        <f t="shared" si="1"/>
        <v>-3089840.5215299991</v>
      </c>
    </row>
    <row r="31" spans="1:8" hidden="1" x14ac:dyDescent="0.2">
      <c r="A31" s="33">
        <f>'FERC Interest Rates'!A84</f>
        <v>43555</v>
      </c>
      <c r="B31" s="64" t="s">
        <v>112</v>
      </c>
      <c r="C31" s="50">
        <f>+'Decoupling-Therm Sales'!M154</f>
        <v>42389457</v>
      </c>
      <c r="D31" s="42"/>
      <c r="E31" s="32">
        <f>+'Decoupling-Therm Sales'!M284</f>
        <v>1158207.93</v>
      </c>
      <c r="F31" s="34">
        <f t="shared" si="2"/>
        <v>-13593.61</v>
      </c>
      <c r="H31" s="40">
        <f t="shared" si="1"/>
        <v>-1945226.2015299993</v>
      </c>
    </row>
    <row r="32" spans="1:8" hidden="1" x14ac:dyDescent="0.2">
      <c r="A32" s="33">
        <f>'FERC Interest Rates'!A85</f>
        <v>43585</v>
      </c>
      <c r="B32" s="64" t="s">
        <v>112</v>
      </c>
      <c r="C32" s="50">
        <f>+'Decoupling-Therm Sales'!M155</f>
        <v>24251956</v>
      </c>
      <c r="D32" s="42"/>
      <c r="E32" s="32">
        <f>+'Decoupling-Therm Sales'!M285</f>
        <v>657653.28999999992</v>
      </c>
      <c r="F32" s="34">
        <f t="shared" si="2"/>
        <v>-8713.5499999999993</v>
      </c>
      <c r="H32" s="40">
        <f t="shared" si="1"/>
        <v>-1296286.4615299995</v>
      </c>
    </row>
    <row r="33" spans="1:10" hidden="1" x14ac:dyDescent="0.2">
      <c r="A33" s="33">
        <f>'FERC Interest Rates'!A86</f>
        <v>43616</v>
      </c>
      <c r="B33" s="64" t="s">
        <v>112</v>
      </c>
      <c r="C33" s="50">
        <f>+'Decoupling-Therm Sales'!M156</f>
        <v>14672895</v>
      </c>
      <c r="D33" s="42"/>
      <c r="E33" s="32">
        <f>+'Decoupling-Therm Sales'!M286</f>
        <v>400131.27</v>
      </c>
      <c r="F33" s="34">
        <f t="shared" si="2"/>
        <v>-6000.21</v>
      </c>
      <c r="H33" s="40">
        <f t="shared" si="1"/>
        <v>-902155.40152999945</v>
      </c>
    </row>
    <row r="34" spans="1:10" hidden="1" x14ac:dyDescent="0.2">
      <c r="A34" s="33">
        <f>'FERC Interest Rates'!A87</f>
        <v>43646</v>
      </c>
      <c r="B34" s="64" t="s">
        <v>112</v>
      </c>
      <c r="C34" s="50">
        <f>+'Decoupling-Therm Sales'!M157</f>
        <v>8957567</v>
      </c>
      <c r="D34" s="42"/>
      <c r="E34" s="32">
        <f>+'Decoupling-Therm Sales'!M287</f>
        <v>245712.96</v>
      </c>
      <c r="F34" s="34">
        <f t="shared" si="2"/>
        <v>-4041.16</v>
      </c>
      <c r="H34" s="40">
        <f t="shared" si="1"/>
        <v>-660483.6015299994</v>
      </c>
    </row>
    <row r="35" spans="1:10" hidden="1" x14ac:dyDescent="0.2">
      <c r="A35" s="33">
        <f>'FERC Interest Rates'!A88</f>
        <v>43677</v>
      </c>
      <c r="B35" s="64" t="s">
        <v>112</v>
      </c>
      <c r="C35" s="50">
        <f>+'Decoupling-Therm Sales'!M158</f>
        <v>7650859</v>
      </c>
      <c r="D35" s="42"/>
      <c r="E35" s="32">
        <f>+'Decoupling-Therm Sales'!M288</f>
        <v>210116.90000000002</v>
      </c>
      <c r="F35" s="34">
        <f t="shared" si="2"/>
        <v>-3085.27</v>
      </c>
      <c r="H35" s="40">
        <f t="shared" si="1"/>
        <v>-453451.9715299994</v>
      </c>
      <c r="I35" s="154"/>
      <c r="J35" s="154"/>
    </row>
    <row r="36" spans="1:10" hidden="1" x14ac:dyDescent="0.2">
      <c r="A36" s="33">
        <f>'FERC Interest Rates'!A89</f>
        <v>43708</v>
      </c>
      <c r="B36" s="64" t="s">
        <v>112</v>
      </c>
      <c r="C36" s="50">
        <f>+'Decoupling-Therm Sales'!M159</f>
        <v>6976774</v>
      </c>
      <c r="D36" s="42"/>
      <c r="E36" s="32">
        <f>+'Decoupling-Therm Sales'!M289</f>
        <v>192333.09000000003</v>
      </c>
      <c r="F36" s="34">
        <f t="shared" si="2"/>
        <v>-2118.1799999999998</v>
      </c>
      <c r="H36" s="40">
        <f t="shared" si="1"/>
        <v>-263237.06152999937</v>
      </c>
      <c r="I36" s="113"/>
      <c r="J36" s="113"/>
    </row>
    <row r="37" spans="1:10" hidden="1" x14ac:dyDescent="0.2">
      <c r="A37" s="33">
        <f>'FERC Interest Rates'!A90</f>
        <v>43738</v>
      </c>
      <c r="B37" s="64" t="s">
        <v>112</v>
      </c>
      <c r="C37" s="50">
        <f>+'Decoupling-Therm Sales'!M160</f>
        <v>6786442</v>
      </c>
      <c r="D37" s="42"/>
      <c r="E37" s="32">
        <f>+'Decoupling-Therm Sales'!M290</f>
        <v>181374.92000000004</v>
      </c>
      <c r="F37" s="34">
        <f t="shared" si="2"/>
        <v>-1189.98</v>
      </c>
      <c r="H37" s="40">
        <f t="shared" si="1"/>
        <v>-83052.121529999335</v>
      </c>
      <c r="I37" s="155"/>
      <c r="J37" s="155"/>
    </row>
    <row r="38" spans="1:10" hidden="1" x14ac:dyDescent="0.2">
      <c r="A38" s="33">
        <f>'FERC Interest Rates'!A91</f>
        <v>43769</v>
      </c>
      <c r="B38" s="64" t="s">
        <v>112</v>
      </c>
      <c r="C38" s="50">
        <f>+'Decoupling-Therm Sales'!M161</f>
        <v>15171360</v>
      </c>
      <c r="D38" s="42"/>
      <c r="E38" s="32">
        <f>+'Decoupling-Therm Sales'!M291</f>
        <v>430320.21</v>
      </c>
      <c r="F38" s="34">
        <f t="shared" si="2"/>
        <v>-382.31</v>
      </c>
      <c r="H38" s="40">
        <f t="shared" si="1"/>
        <v>346885.77847000072</v>
      </c>
      <c r="I38" s="113"/>
      <c r="J38" s="113"/>
    </row>
    <row r="39" spans="1:10" x14ac:dyDescent="0.2">
      <c r="A39" s="568" t="s">
        <v>110</v>
      </c>
      <c r="B39" s="568"/>
      <c r="C39" s="568"/>
      <c r="D39" s="568"/>
      <c r="E39" s="568"/>
      <c r="F39" s="568"/>
      <c r="G39" s="34">
        <v>1060071.47</v>
      </c>
      <c r="H39" s="40">
        <f t="shared" ref="H39" si="3">H38+SUM(D39:G39)</f>
        <v>1406957.2484700007</v>
      </c>
      <c r="I39" s="155"/>
      <c r="J39" s="155"/>
    </row>
    <row r="40" spans="1:10" x14ac:dyDescent="0.2">
      <c r="A40" s="33">
        <f>'FERC Interest Rates'!A92</f>
        <v>43799</v>
      </c>
      <c r="B40" s="64" t="s">
        <v>33</v>
      </c>
      <c r="C40" s="105">
        <f>+'Decoupling-Therm Sales'!M162+'Decoupling-Therm Sales'!M163</f>
        <v>23951630</v>
      </c>
      <c r="D40" s="42"/>
      <c r="E40" s="32">
        <f>+'Decoupling-Therm Sales'!M292+'Decoupling-Therm Sales'!M293</f>
        <v>383936.54182000004</v>
      </c>
      <c r="F40" s="34">
        <f>ROUND(H39*VLOOKUP(A40,FERCINT19,2)/365*VLOOKUP(A40,FERCINT19,3),2)</f>
        <v>6267.71</v>
      </c>
      <c r="H40" s="40">
        <f>H39+SUM(D40:G40)</f>
        <v>1797161.5002900008</v>
      </c>
      <c r="I40" s="113"/>
      <c r="J40" s="113"/>
    </row>
    <row r="41" spans="1:10" x14ac:dyDescent="0.2">
      <c r="A41" s="33">
        <f>'FERC Interest Rates'!A93</f>
        <v>43830</v>
      </c>
      <c r="B41" s="64" t="s">
        <v>112</v>
      </c>
      <c r="C41" s="105">
        <f>+'Decoupling-Therm Sales'!M164</f>
        <v>34636501</v>
      </c>
      <c r="D41" s="42"/>
      <c r="E41" s="32">
        <f>+'Decoupling-Therm Sales'!M294</f>
        <v>-186539.13160999998</v>
      </c>
      <c r="F41" s="34">
        <f t="shared" ref="F41" si="4">ROUND(H40*VLOOKUP(A41,FERCINT19,2)/365*VLOOKUP(A41,FERCINT19,3),2)</f>
        <v>8272.85</v>
      </c>
      <c r="H41" s="40">
        <f t="shared" ref="H41:H64" si="5">H40+SUM(D41:G41)</f>
        <v>1618895.2186800009</v>
      </c>
      <c r="I41" s="136"/>
      <c r="J41" s="136"/>
    </row>
    <row r="42" spans="1:10" x14ac:dyDescent="0.2">
      <c r="A42" s="33">
        <f>'FERC Interest Rates'!A94</f>
        <v>43861</v>
      </c>
      <c r="B42" s="64" t="s">
        <v>112</v>
      </c>
      <c r="C42" s="105">
        <f>+'Decoupling-Therm Sales'!M165</f>
        <v>41447011</v>
      </c>
      <c r="D42" s="42"/>
      <c r="E42" s="56">
        <f>+'Decoupling-Therm Sales'!M295+0.01</f>
        <v>-232677.94760999994</v>
      </c>
      <c r="F42" s="34">
        <f t="shared" ref="F42:F54" si="6">ROUND(H41*VLOOKUP(A42,FERCINT20,2)/365*VLOOKUP(A42,FERCINT20,3),2)</f>
        <v>6819.76</v>
      </c>
      <c r="H42" s="40">
        <f t="shared" si="5"/>
        <v>1393037.031070001</v>
      </c>
    </row>
    <row r="43" spans="1:10" x14ac:dyDescent="0.2">
      <c r="A43" s="33">
        <f>'FERC Interest Rates'!A95</f>
        <v>43890</v>
      </c>
      <c r="B43" s="64" t="s">
        <v>112</v>
      </c>
      <c r="C43" s="105">
        <f>+'Decoupling-Therm Sales'!M166</f>
        <v>34316998</v>
      </c>
      <c r="D43" s="42"/>
      <c r="E43" s="32">
        <f>+'Decoupling-Therm Sales'!M296</f>
        <v>-185523.55536999999</v>
      </c>
      <c r="F43" s="34">
        <f t="shared" si="6"/>
        <v>5489.71</v>
      </c>
      <c r="H43" s="40">
        <f t="shared" si="5"/>
        <v>1213003.185700001</v>
      </c>
    </row>
    <row r="44" spans="1:10" x14ac:dyDescent="0.2">
      <c r="A44" s="33">
        <f>'FERC Interest Rates'!A96</f>
        <v>43921</v>
      </c>
      <c r="B44" s="64" t="s">
        <v>112</v>
      </c>
      <c r="C44" s="105">
        <f>+'Decoupling-Therm Sales'!M167</f>
        <v>34370665</v>
      </c>
      <c r="D44" s="42"/>
      <c r="E44" s="32">
        <f>+'Decoupling-Therm Sales'!M297</f>
        <v>-186051.78346999999</v>
      </c>
      <c r="F44" s="34">
        <f t="shared" si="6"/>
        <v>5109.8999999999996</v>
      </c>
      <c r="H44" s="40">
        <f t="shared" si="5"/>
        <v>1032061.302230001</v>
      </c>
    </row>
    <row r="45" spans="1:10" x14ac:dyDescent="0.2">
      <c r="A45" s="33">
        <f>'FERC Interest Rates'!A97</f>
        <v>43951</v>
      </c>
      <c r="B45" s="64" t="s">
        <v>112</v>
      </c>
      <c r="C45" s="105">
        <f>+'Decoupling-Therm Sales'!M168</f>
        <v>26722621</v>
      </c>
      <c r="D45" s="42"/>
      <c r="E45" s="32">
        <f>+'Decoupling-Therm Sales'!M298</f>
        <v>-140599.89796</v>
      </c>
      <c r="F45" s="34">
        <f t="shared" si="6"/>
        <v>4029.28</v>
      </c>
      <c r="H45" s="40">
        <f t="shared" si="5"/>
        <v>895490.68427000102</v>
      </c>
    </row>
    <row r="46" spans="1:10" x14ac:dyDescent="0.2">
      <c r="A46" s="33">
        <f>'FERC Interest Rates'!A98</f>
        <v>43982</v>
      </c>
      <c r="B46" s="64" t="s">
        <v>112</v>
      </c>
      <c r="C46" s="105">
        <f>+'Decoupling-Therm Sales'!M169</f>
        <v>13504949</v>
      </c>
      <c r="D46" s="42"/>
      <c r="E46" s="32">
        <f>+'Decoupling-Therm Sales'!M299</f>
        <v>-63018.858980000012</v>
      </c>
      <c r="F46" s="34">
        <f t="shared" si="6"/>
        <v>3612.63</v>
      </c>
      <c r="H46" s="40">
        <f t="shared" si="5"/>
        <v>836084.455290001</v>
      </c>
    </row>
    <row r="47" spans="1:10" x14ac:dyDescent="0.2">
      <c r="A47" s="33">
        <f>'FERC Interest Rates'!A99</f>
        <v>44012</v>
      </c>
      <c r="B47" s="64" t="s">
        <v>112</v>
      </c>
      <c r="C47" s="105">
        <f>+'Decoupling-Therm Sales'!M170</f>
        <v>10562993</v>
      </c>
      <c r="D47" s="42"/>
      <c r="E47" s="56">
        <f>+'Decoupling-Therm Sales'!M300</f>
        <v>-38258.960389999986</v>
      </c>
      <c r="F47" s="34">
        <f t="shared" si="6"/>
        <v>3264.17</v>
      </c>
      <c r="H47" s="40">
        <f t="shared" si="5"/>
        <v>801089.66490000102</v>
      </c>
    </row>
    <row r="48" spans="1:10" x14ac:dyDescent="0.2">
      <c r="A48" s="33">
        <f>'FERC Interest Rates'!A100</f>
        <v>44043</v>
      </c>
      <c r="B48" s="64" t="s">
        <v>112</v>
      </c>
      <c r="C48" s="105">
        <f>+'Decoupling-Therm Sales'!M171</f>
        <v>9083808</v>
      </c>
      <c r="D48" s="42"/>
      <c r="E48" s="56">
        <f>+'Decoupling-Therm Sales'!M301+0.01</f>
        <v>-26641.785750000006</v>
      </c>
      <c r="F48" s="34">
        <f t="shared" si="6"/>
        <v>2333.69</v>
      </c>
      <c r="H48" s="40">
        <f t="shared" si="5"/>
        <v>776781.56915000104</v>
      </c>
    </row>
    <row r="49" spans="1:8" x14ac:dyDescent="0.2">
      <c r="A49" s="33">
        <f>'FERC Interest Rates'!A101</f>
        <v>44074</v>
      </c>
      <c r="B49" s="64" t="s">
        <v>112</v>
      </c>
      <c r="C49" s="105">
        <f>+'Decoupling-Therm Sales'!M172</f>
        <v>6752494</v>
      </c>
      <c r="D49" s="42"/>
      <c r="E49" s="32">
        <f>+'Decoupling-Therm Sales'!M302</f>
        <v>-14204.911440000002</v>
      </c>
      <c r="F49" s="34">
        <f t="shared" si="6"/>
        <v>2262.88</v>
      </c>
      <c r="H49" s="40">
        <f t="shared" si="5"/>
        <v>764839.53771000099</v>
      </c>
    </row>
    <row r="50" spans="1:8" x14ac:dyDescent="0.2">
      <c r="A50" s="33">
        <f>'FERC Interest Rates'!A102</f>
        <v>44104</v>
      </c>
      <c r="B50" s="64" t="s">
        <v>112</v>
      </c>
      <c r="C50" s="105">
        <f>+'Decoupling-Therm Sales'!M173</f>
        <v>7390192</v>
      </c>
      <c r="D50" s="42"/>
      <c r="E50" s="56">
        <f>+'Decoupling-Therm Sales'!M303</f>
        <v>-16219.958349999997</v>
      </c>
      <c r="F50" s="34">
        <f t="shared" si="6"/>
        <v>2156.2199999999998</v>
      </c>
      <c r="H50" s="40">
        <f t="shared" si="5"/>
        <v>750775.79936000099</v>
      </c>
    </row>
    <row r="51" spans="1:8" x14ac:dyDescent="0.2">
      <c r="A51" s="33">
        <f>'FERC Interest Rates'!A103</f>
        <v>44135</v>
      </c>
      <c r="B51" s="64" t="s">
        <v>112</v>
      </c>
      <c r="C51" s="105">
        <f>+'Decoupling-Therm Sales'!M174</f>
        <v>9479391</v>
      </c>
      <c r="D51" s="42"/>
      <c r="E51" s="32">
        <f>+'Decoupling-Therm Sales'!M304</f>
        <v>-41762.727760000002</v>
      </c>
      <c r="F51" s="34">
        <f t="shared" si="6"/>
        <v>2072.35</v>
      </c>
      <c r="H51" s="40">
        <f t="shared" si="5"/>
        <v>711085.42160000093</v>
      </c>
    </row>
    <row r="52" spans="1:8" x14ac:dyDescent="0.2">
      <c r="A52" s="568" t="s">
        <v>110</v>
      </c>
      <c r="B52" s="568"/>
      <c r="C52" s="568"/>
      <c r="D52" s="568"/>
      <c r="E52" s="568"/>
      <c r="F52" s="568"/>
      <c r="G52" s="146">
        <v>-4569822.54</v>
      </c>
      <c r="H52" s="40">
        <f t="shared" si="5"/>
        <v>-3858737.1183999991</v>
      </c>
    </row>
    <row r="53" spans="1:8" x14ac:dyDescent="0.2">
      <c r="A53" s="33">
        <f>'FERC Interest Rates'!A104</f>
        <v>44165</v>
      </c>
      <c r="B53" s="64" t="s">
        <v>33</v>
      </c>
      <c r="C53" s="105">
        <f>+'Decoupling-Therm Sales'!M175+'Decoupling-Therm Sales'!M176</f>
        <v>19280891</v>
      </c>
      <c r="D53" s="42"/>
      <c r="E53" s="32">
        <f>+'Decoupling-Therm Sales'!M305+'Decoupling-Therm Sales'!M306</f>
        <v>11668.787340000024</v>
      </c>
      <c r="F53" s="34">
        <f t="shared" si="6"/>
        <v>-10307.59</v>
      </c>
      <c r="H53" s="40">
        <f t="shared" si="5"/>
        <v>-3857375.9210599991</v>
      </c>
    </row>
    <row r="54" spans="1:8" x14ac:dyDescent="0.2">
      <c r="A54" s="33">
        <f>'FERC Interest Rates'!A105</f>
        <v>44196</v>
      </c>
      <c r="B54" s="64" t="s">
        <v>112</v>
      </c>
      <c r="C54" s="105">
        <f>+'Decoupling-Therm Sales'!M177</f>
        <v>34057490</v>
      </c>
      <c r="D54" s="42"/>
      <c r="E54" s="32">
        <f>+'Decoupling-Therm Sales'!M307</f>
        <v>512196.88659000007</v>
      </c>
      <c r="F54" s="34">
        <f t="shared" si="6"/>
        <v>-10647.41</v>
      </c>
      <c r="H54" s="40">
        <f t="shared" si="5"/>
        <v>-3355826.4444699991</v>
      </c>
    </row>
    <row r="55" spans="1:8" x14ac:dyDescent="0.2">
      <c r="A55" s="33">
        <f>'FERC Interest Rates'!A106</f>
        <v>44227</v>
      </c>
      <c r="B55" s="64" t="s">
        <v>112</v>
      </c>
      <c r="C55" s="105">
        <f>+'Decoupling-Therm Sales'!M178</f>
        <v>35952500</v>
      </c>
      <c r="D55" s="42"/>
      <c r="E55" s="56">
        <f>+'Decoupling-Therm Sales'!M308</f>
        <v>540665.47662000009</v>
      </c>
      <c r="F55" s="34">
        <f t="shared" ref="F55:F64" si="7">ROUND(H54*VLOOKUP(A55,FERCINT21,2)/365*VLOOKUP(A55,FERCINT21,3),2)</f>
        <v>-9263</v>
      </c>
      <c r="H55" s="40">
        <f t="shared" si="5"/>
        <v>-2824423.9678499987</v>
      </c>
    </row>
    <row r="56" spans="1:8" x14ac:dyDescent="0.2">
      <c r="A56" s="33">
        <f>'FERC Interest Rates'!A107</f>
        <v>44255</v>
      </c>
      <c r="B56" s="64" t="s">
        <v>112</v>
      </c>
      <c r="C56" s="105">
        <f>+'Decoupling-Therm Sales'!M179</f>
        <v>33909523</v>
      </c>
      <c r="D56" s="42"/>
      <c r="E56" s="32">
        <f>+'Decoupling-Therm Sales'!M309</f>
        <v>508910.32601999998</v>
      </c>
      <c r="F56" s="34">
        <f t="shared" si="7"/>
        <v>-7041.71</v>
      </c>
      <c r="H56" s="40">
        <f t="shared" si="5"/>
        <v>-2322555.3518299987</v>
      </c>
    </row>
    <row r="57" spans="1:8" x14ac:dyDescent="0.2">
      <c r="A57" s="33">
        <f>'FERC Interest Rates'!A108</f>
        <v>44286</v>
      </c>
      <c r="B57" s="64" t="s">
        <v>112</v>
      </c>
      <c r="C57" s="105">
        <f>+'Decoupling-Therm Sales'!M180</f>
        <v>36377608</v>
      </c>
      <c r="D57" s="42"/>
      <c r="E57" s="32">
        <f>+'Decoupling-Therm Sales'!M310</f>
        <v>550335.86378999997</v>
      </c>
      <c r="F57" s="34">
        <f t="shared" si="7"/>
        <v>-6410.89</v>
      </c>
      <c r="H57" s="40">
        <f t="shared" si="5"/>
        <v>-1778630.3780399987</v>
      </c>
    </row>
    <row r="58" spans="1:8" x14ac:dyDescent="0.2">
      <c r="A58" s="33">
        <f>'FERC Interest Rates'!A109</f>
        <v>44316</v>
      </c>
      <c r="B58" s="64" t="s">
        <v>112</v>
      </c>
      <c r="C58" s="105">
        <f>+'Decoupling-Therm Sales'!M181</f>
        <v>25532431</v>
      </c>
      <c r="D58" s="42"/>
      <c r="E58" s="56">
        <f>+'Decoupling-Therm Sales'!M311</f>
        <v>387233.80443000002</v>
      </c>
      <c r="F58" s="34">
        <f t="shared" si="7"/>
        <v>-4751.1400000000003</v>
      </c>
      <c r="H58" s="40">
        <f t="shared" si="5"/>
        <v>-1396147.7136099986</v>
      </c>
    </row>
    <row r="59" spans="1:8" x14ac:dyDescent="0.2">
      <c r="A59" s="33">
        <f>'FERC Interest Rates'!A110</f>
        <v>44347</v>
      </c>
      <c r="B59" s="64" t="s">
        <v>112</v>
      </c>
      <c r="C59" s="105">
        <f>+'Decoupling-Therm Sales'!M182</f>
        <v>13309390</v>
      </c>
      <c r="D59" s="42"/>
      <c r="E59" s="32">
        <f>+'Decoupling-Therm Sales'!M312</f>
        <v>205004.10041000001</v>
      </c>
      <c r="F59" s="34">
        <f t="shared" si="7"/>
        <v>-3853.75</v>
      </c>
      <c r="H59" s="40">
        <f t="shared" si="5"/>
        <v>-1194997.3631999986</v>
      </c>
    </row>
    <row r="60" spans="1:8" x14ac:dyDescent="0.2">
      <c r="A60" s="33">
        <f>'FERC Interest Rates'!A111</f>
        <v>44377</v>
      </c>
      <c r="B60" s="64" t="s">
        <v>112</v>
      </c>
      <c r="C60" s="105">
        <f>+'Decoupling-Therm Sales'!M183</f>
        <v>10832413</v>
      </c>
      <c r="D60" s="42"/>
      <c r="E60" s="32">
        <f>+'Decoupling-Therm Sales'!M313</f>
        <v>169347.10689000002</v>
      </c>
      <c r="F60" s="34">
        <f t="shared" si="7"/>
        <v>-3192.12</v>
      </c>
      <c r="H60" s="40">
        <f t="shared" si="5"/>
        <v>-1028842.3763099986</v>
      </c>
    </row>
    <row r="61" spans="1:8" x14ac:dyDescent="0.2">
      <c r="A61" s="33">
        <f>'FERC Interest Rates'!A112</f>
        <v>44408</v>
      </c>
      <c r="B61" s="64" t="s">
        <v>112</v>
      </c>
      <c r="C61" s="105">
        <f>+'Decoupling-Therm Sales'!M184</f>
        <v>6955024</v>
      </c>
      <c r="D61" s="42"/>
      <c r="E61" s="32">
        <f>+'Decoupling-Therm Sales'!M314</f>
        <v>110956.32797</v>
      </c>
      <c r="F61" s="34">
        <f t="shared" si="7"/>
        <v>-2839.89</v>
      </c>
      <c r="H61" s="40">
        <f t="shared" si="5"/>
        <v>-920725.9383399986</v>
      </c>
    </row>
    <row r="62" spans="1:8" x14ac:dyDescent="0.2">
      <c r="A62" s="33">
        <f>'FERC Interest Rates'!A113</f>
        <v>44439</v>
      </c>
      <c r="B62" s="64" t="s">
        <v>112</v>
      </c>
      <c r="C62" s="105">
        <f>+'Decoupling-Therm Sales'!M185</f>
        <v>6421769</v>
      </c>
      <c r="D62" s="42"/>
      <c r="E62" s="32">
        <f>+'Decoupling-Therm Sales'!M315</f>
        <v>103534.84290000002</v>
      </c>
      <c r="F62" s="34">
        <f t="shared" si="7"/>
        <v>-2541.46</v>
      </c>
      <c r="H62" s="40">
        <f t="shared" si="5"/>
        <v>-819732.55543999863</v>
      </c>
    </row>
    <row r="63" spans="1:8" x14ac:dyDescent="0.2">
      <c r="A63" s="33">
        <f>'FERC Interest Rates'!A114</f>
        <v>44469</v>
      </c>
      <c r="B63" s="64" t="s">
        <v>112</v>
      </c>
      <c r="C63" s="105">
        <f>+'Decoupling-Therm Sales'!M186</f>
        <v>7139967</v>
      </c>
      <c r="D63" s="42"/>
      <c r="E63" s="32">
        <f>+'Decoupling-Therm Sales'!M316</f>
        <v>113310.60581000001</v>
      </c>
      <c r="F63" s="34">
        <f t="shared" si="7"/>
        <v>-2189.6999999999998</v>
      </c>
      <c r="H63" s="40">
        <f t="shared" si="5"/>
        <v>-708611.6496299986</v>
      </c>
    </row>
    <row r="64" spans="1:8" x14ac:dyDescent="0.2">
      <c r="A64" s="33">
        <f>'FERC Interest Rates'!A115</f>
        <v>44500</v>
      </c>
      <c r="B64" s="64" t="s">
        <v>112</v>
      </c>
      <c r="C64" s="105">
        <f>+'Decoupling-Therm Sales'!M187</f>
        <v>11546479</v>
      </c>
      <c r="D64" s="42"/>
      <c r="E64" s="56">
        <f>+'Decoupling-Therm Sales'!M317+0.01</f>
        <v>175646.34134000001</v>
      </c>
      <c r="F64" s="34">
        <f t="shared" si="7"/>
        <v>-1955.96</v>
      </c>
      <c r="H64" s="40">
        <f t="shared" si="5"/>
        <v>-534921.26828999864</v>
      </c>
    </row>
    <row r="65" spans="1:8" x14ac:dyDescent="0.2">
      <c r="A65" s="568" t="s">
        <v>110</v>
      </c>
      <c r="B65" s="568"/>
      <c r="C65" s="568"/>
      <c r="D65" s="568"/>
      <c r="E65" s="568"/>
      <c r="F65" s="568"/>
      <c r="G65" s="146">
        <v>3412220.59</v>
      </c>
      <c r="H65" s="40">
        <f t="shared" ref="H65:H67" si="8">H64+SUM(D65:G65)</f>
        <v>2877299.3217100012</v>
      </c>
    </row>
    <row r="66" spans="1:8" x14ac:dyDescent="0.2">
      <c r="A66" s="33">
        <f>'FERC Interest Rates'!A116</f>
        <v>44530</v>
      </c>
      <c r="B66" s="64" t="s">
        <v>112</v>
      </c>
      <c r="C66" s="105">
        <f>+'Decoupling-Therm Sales'!M188+'Decoupling-Therm Sales'!M189</f>
        <v>18804046</v>
      </c>
      <c r="D66" s="42"/>
      <c r="E66" s="32">
        <f>+'Decoupling-Therm Sales'!M318+'Decoupling-Therm Sales'!M319</f>
        <v>181431.84000000003</v>
      </c>
      <c r="F66" s="34">
        <f t="shared" ref="F66:F67" si="9">ROUND(H65*VLOOKUP(A66,FERCINT21,2)/365*VLOOKUP(A66,FERCINT21,3),2)</f>
        <v>7685.94</v>
      </c>
      <c r="H66" s="40">
        <f t="shared" si="8"/>
        <v>3066417.101710001</v>
      </c>
    </row>
    <row r="67" spans="1:8" x14ac:dyDescent="0.2">
      <c r="A67" s="33">
        <f>'FERC Interest Rates'!A117</f>
        <v>44561</v>
      </c>
      <c r="B67" s="64" t="s">
        <v>112</v>
      </c>
      <c r="C67" s="105">
        <f>+'Decoupling-Therm Sales'!M190</f>
        <v>30532105</v>
      </c>
      <c r="D67" s="42"/>
      <c r="E67" s="32">
        <f>+'Decoupling-Therm Sales'!M320</f>
        <v>-129628.83</v>
      </c>
      <c r="F67" s="34">
        <f t="shared" si="9"/>
        <v>8464.15</v>
      </c>
      <c r="H67" s="40">
        <f t="shared" si="8"/>
        <v>2945252.4217100008</v>
      </c>
    </row>
    <row r="68" spans="1:8" x14ac:dyDescent="0.2">
      <c r="A68" s="33">
        <f>'FERC Interest Rates'!A118</f>
        <v>44592</v>
      </c>
      <c r="B68" s="64" t="s">
        <v>112</v>
      </c>
      <c r="C68" s="105">
        <f>+'Decoupling-Therm Sales'!M191</f>
        <v>47579519</v>
      </c>
      <c r="D68" s="42"/>
      <c r="E68" s="56">
        <f>+'Decoupling-Therm Sales'!M321</f>
        <v>-214232.73999999996</v>
      </c>
      <c r="F68" s="34">
        <f t="shared" ref="F68:F73" si="10">ROUND(H67*VLOOKUP(A68,FERCINT22,2)/365*VLOOKUP(A68,FERCINT22,3),2)</f>
        <v>8129.7</v>
      </c>
      <c r="H68" s="40">
        <f t="shared" ref="H68" si="11">H67+SUM(D68:G68)</f>
        <v>2739149.3817100008</v>
      </c>
    </row>
    <row r="69" spans="1:8" x14ac:dyDescent="0.2">
      <c r="A69" s="33">
        <f>'FERC Interest Rates'!A119</f>
        <v>44620</v>
      </c>
      <c r="B69" s="64" t="s">
        <v>112</v>
      </c>
      <c r="C69" s="105">
        <f>+'Decoupling-Therm Sales'!M192</f>
        <v>36808310</v>
      </c>
      <c r="D69" s="42"/>
      <c r="E69" s="32">
        <f>+'Decoupling-Therm Sales'!M322</f>
        <v>-166666.88</v>
      </c>
      <c r="F69" s="34">
        <f t="shared" si="10"/>
        <v>6829.11</v>
      </c>
      <c r="H69" s="40">
        <f t="shared" ref="H69:H73" si="12">H68+SUM(D69:G69)</f>
        <v>2579311.6117100008</v>
      </c>
    </row>
    <row r="70" spans="1:8" x14ac:dyDescent="0.2">
      <c r="A70" s="33">
        <f>'FERC Interest Rates'!A120</f>
        <v>44651</v>
      </c>
      <c r="B70" s="64" t="s">
        <v>112</v>
      </c>
      <c r="C70" s="105">
        <f>+'Decoupling-Therm Sales'!M193</f>
        <v>35883551</v>
      </c>
      <c r="D70" s="42"/>
      <c r="E70" s="32">
        <f>+'Decoupling-Therm Sales'!M323</f>
        <v>-155240.75999999998</v>
      </c>
      <c r="F70" s="34">
        <f t="shared" si="10"/>
        <v>7119.61</v>
      </c>
      <c r="H70" s="40">
        <f t="shared" si="12"/>
        <v>2431190.4617100009</v>
      </c>
    </row>
    <row r="71" spans="1:8" x14ac:dyDescent="0.2">
      <c r="A71" s="33">
        <f>'FERC Interest Rates'!A121</f>
        <v>44681</v>
      </c>
      <c r="B71" s="64" t="s">
        <v>112</v>
      </c>
      <c r="C71" s="105">
        <f>+'Decoupling-Therm Sales'!M194</f>
        <v>23698655</v>
      </c>
      <c r="D71" s="42"/>
      <c r="E71" s="32">
        <f>+'Decoupling-Therm Sales'!M324</f>
        <v>-96193.49</v>
      </c>
      <c r="F71" s="34">
        <f t="shared" si="10"/>
        <v>6494.28</v>
      </c>
      <c r="H71" s="40">
        <f t="shared" si="12"/>
        <v>2341491.2517100009</v>
      </c>
    </row>
    <row r="72" spans="1:8" x14ac:dyDescent="0.2">
      <c r="A72" s="33">
        <f>'FERC Interest Rates'!A122</f>
        <v>44712</v>
      </c>
      <c r="B72" s="64" t="s">
        <v>112</v>
      </c>
      <c r="C72" s="105">
        <f>+'Decoupling-Therm Sales'!M195</f>
        <v>20452192</v>
      </c>
      <c r="D72" s="42"/>
      <c r="E72" s="32">
        <f>+'Decoupling-Therm Sales'!M325</f>
        <v>-80869.359999999971</v>
      </c>
      <c r="F72" s="34">
        <f t="shared" si="10"/>
        <v>6463.16</v>
      </c>
      <c r="H72" s="40">
        <f t="shared" si="12"/>
        <v>2267085.0517100007</v>
      </c>
    </row>
    <row r="73" spans="1:8" x14ac:dyDescent="0.2">
      <c r="A73" s="33">
        <f>'FERC Interest Rates'!A123</f>
        <v>44742</v>
      </c>
      <c r="B73" s="64" t="s">
        <v>112</v>
      </c>
      <c r="C73" s="105">
        <f>+'Decoupling-Therm Sales'!M196</f>
        <v>13138561</v>
      </c>
      <c r="D73" s="42"/>
      <c r="E73" s="32">
        <f>+'Decoupling-Therm Sales'!M326</f>
        <v>-37061.56</v>
      </c>
      <c r="F73" s="34">
        <f t="shared" si="10"/>
        <v>6055.91</v>
      </c>
      <c r="H73" s="40">
        <f t="shared" si="12"/>
        <v>2236079.4017100008</v>
      </c>
    </row>
  </sheetData>
  <mergeCells count="21">
    <mergeCell ref="A1:B1"/>
    <mergeCell ref="C1:H1"/>
    <mergeCell ref="A2:B2"/>
    <mergeCell ref="C2:H2"/>
    <mergeCell ref="A3:B3"/>
    <mergeCell ref="C3:H3"/>
    <mergeCell ref="A65:F65"/>
    <mergeCell ref="A4:B4"/>
    <mergeCell ref="C4:H4"/>
    <mergeCell ref="A5:B5"/>
    <mergeCell ref="C5:H5"/>
    <mergeCell ref="A6:B6"/>
    <mergeCell ref="C6:H6"/>
    <mergeCell ref="C7:H7"/>
    <mergeCell ref="D9:F9"/>
    <mergeCell ref="A12:F12"/>
    <mergeCell ref="A52:F52"/>
    <mergeCell ref="A39:F39"/>
    <mergeCell ref="A26:F26"/>
    <mergeCell ref="A13:F13"/>
    <mergeCell ref="A7:B7"/>
  </mergeCells>
  <printOptions horizontalCentered="1"/>
  <pageMargins left="0.5" right="0.25" top="0.5" bottom="0.25" header="0.3" footer="0.3"/>
  <pageSetup scale="89" fitToHeight="0" orientation="portrait" r:id="rId1"/>
  <headerFooter>
    <oddFooter>&amp;L&amp;"-,Bold"&amp;10Cascade Natural Gas Corporation&amp;C&amp;"-,Bold"&amp;10&amp;P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41"/>
  <sheetViews>
    <sheetView view="pageBreakPreview" zoomScale="75" zoomScaleNormal="100" zoomScaleSheetLayoutView="75" workbookViewId="0">
      <selection activeCell="H41" sqref="H41"/>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16384" width="8.88671875" style="1"/>
  </cols>
  <sheetData>
    <row r="1" spans="1:8" x14ac:dyDescent="0.2">
      <c r="A1" s="548" t="s">
        <v>13</v>
      </c>
      <c r="B1" s="549"/>
      <c r="C1" s="579" t="s">
        <v>14</v>
      </c>
      <c r="D1" s="579"/>
      <c r="E1" s="579"/>
      <c r="F1" s="579"/>
      <c r="G1" s="579"/>
      <c r="H1" s="580"/>
    </row>
    <row r="2" spans="1:8" x14ac:dyDescent="0.2">
      <c r="A2" s="541" t="s">
        <v>16</v>
      </c>
      <c r="B2" s="533"/>
      <c r="C2" s="581" t="s">
        <v>166</v>
      </c>
      <c r="D2" s="581"/>
      <c r="E2" s="581"/>
      <c r="F2" s="581"/>
      <c r="G2" s="581"/>
      <c r="H2" s="582"/>
    </row>
    <row r="3" spans="1:8" x14ac:dyDescent="0.2">
      <c r="A3" s="541" t="s">
        <v>17</v>
      </c>
      <c r="B3" s="533"/>
      <c r="C3" s="581" t="s">
        <v>156</v>
      </c>
      <c r="D3" s="581"/>
      <c r="E3" s="581"/>
      <c r="F3" s="581"/>
      <c r="G3" s="581"/>
      <c r="H3" s="582"/>
    </row>
    <row r="4" spans="1:8" x14ac:dyDescent="0.2">
      <c r="A4" s="541" t="s">
        <v>18</v>
      </c>
      <c r="B4" s="533"/>
      <c r="C4" s="581"/>
      <c r="D4" s="581"/>
      <c r="E4" s="581"/>
      <c r="F4" s="581"/>
      <c r="G4" s="581"/>
      <c r="H4" s="582"/>
    </row>
    <row r="5" spans="1:8" x14ac:dyDescent="0.2">
      <c r="A5" s="541" t="s">
        <v>20</v>
      </c>
      <c r="B5" s="533"/>
      <c r="C5" s="581" t="s">
        <v>165</v>
      </c>
      <c r="D5" s="581"/>
      <c r="E5" s="581"/>
      <c r="F5" s="581"/>
      <c r="G5" s="581"/>
      <c r="H5" s="582"/>
    </row>
    <row r="6" spans="1:8" x14ac:dyDescent="0.2">
      <c r="A6" s="541" t="s">
        <v>21</v>
      </c>
      <c r="B6" s="533"/>
      <c r="C6" s="581" t="s">
        <v>168</v>
      </c>
      <c r="D6" s="581"/>
      <c r="E6" s="581"/>
      <c r="F6" s="581"/>
      <c r="G6" s="581"/>
      <c r="H6" s="582"/>
    </row>
    <row r="7" spans="1:8" ht="40.5" customHeight="1" thickBot="1" x14ac:dyDescent="0.25">
      <c r="A7" s="542" t="s">
        <v>22</v>
      </c>
      <c r="B7" s="543"/>
      <c r="C7" s="576" t="s">
        <v>169</v>
      </c>
      <c r="D7" s="576"/>
      <c r="E7" s="576"/>
      <c r="F7" s="576"/>
      <c r="G7" s="576"/>
      <c r="H7" s="577"/>
    </row>
    <row r="8" spans="1:8" x14ac:dyDescent="0.2">
      <c r="A8" s="159"/>
      <c r="B8" s="159"/>
      <c r="C8" s="3"/>
      <c r="D8" s="3"/>
      <c r="E8" s="3"/>
      <c r="F8" s="3"/>
      <c r="G8" s="3"/>
      <c r="H8" s="3"/>
    </row>
    <row r="9" spans="1:8" x14ac:dyDescent="0.2">
      <c r="A9" s="158"/>
      <c r="D9" s="529" t="s">
        <v>38</v>
      </c>
      <c r="E9" s="529"/>
      <c r="F9" s="529"/>
    </row>
    <row r="10" spans="1:8" s="125" customFormat="1" ht="27.75" customHeight="1" x14ac:dyDescent="0.2">
      <c r="A10" s="5" t="s">
        <v>39</v>
      </c>
      <c r="B10" s="5" t="s">
        <v>4</v>
      </c>
      <c r="C10" s="5" t="s">
        <v>12</v>
      </c>
      <c r="D10" s="5" t="s">
        <v>23</v>
      </c>
      <c r="E10" s="5" t="s">
        <v>24</v>
      </c>
      <c r="F10" s="5" t="s">
        <v>2</v>
      </c>
      <c r="G10" s="5" t="s">
        <v>0</v>
      </c>
      <c r="H10" s="5" t="s">
        <v>1</v>
      </c>
    </row>
    <row r="11" spans="1:8" x14ac:dyDescent="0.2">
      <c r="A11" s="578" t="s">
        <v>157</v>
      </c>
      <c r="B11" s="578"/>
      <c r="C11" s="578"/>
      <c r="D11" s="578"/>
      <c r="E11" s="578"/>
      <c r="F11" s="578"/>
      <c r="G11" s="120">
        <v>9769587.4000000004</v>
      </c>
      <c r="H11" s="120"/>
    </row>
    <row r="12" spans="1:8" x14ac:dyDescent="0.2">
      <c r="A12" s="578"/>
      <c r="B12" s="578"/>
      <c r="C12" s="578"/>
      <c r="D12" s="578"/>
      <c r="E12" s="578"/>
      <c r="F12" s="578"/>
      <c r="G12" s="120"/>
      <c r="H12" s="120">
        <f>SUM(G11:G11)</f>
        <v>9769587.4000000004</v>
      </c>
    </row>
    <row r="13" spans="1:8" x14ac:dyDescent="0.2">
      <c r="A13" s="121">
        <f>+'FERC Interest Rates'!A96</f>
        <v>43921</v>
      </c>
      <c r="B13" s="123" t="s">
        <v>149</v>
      </c>
      <c r="C13" s="175"/>
      <c r="D13" s="176"/>
      <c r="E13" s="120">
        <v>-90459.14</v>
      </c>
      <c r="F13" s="176"/>
      <c r="G13" s="120"/>
      <c r="H13" s="120">
        <f>H12+SUM(E13:G13)</f>
        <v>9679128.2599999998</v>
      </c>
    </row>
    <row r="14" spans="1:8" x14ac:dyDescent="0.2">
      <c r="A14" s="121">
        <f>+'FERC Interest Rates'!A97</f>
        <v>43951</v>
      </c>
      <c r="B14" s="123" t="s">
        <v>149</v>
      </c>
      <c r="C14" s="175"/>
      <c r="D14" s="176"/>
      <c r="E14" s="120">
        <v>-90459.14</v>
      </c>
      <c r="F14" s="176"/>
      <c r="G14" s="120"/>
      <c r="H14" s="120">
        <f>H13+SUM(D14:G14)</f>
        <v>9588669.1199999992</v>
      </c>
    </row>
    <row r="15" spans="1:8" x14ac:dyDescent="0.2">
      <c r="A15" s="121">
        <f>+'FERC Interest Rates'!A98</f>
        <v>43982</v>
      </c>
      <c r="B15" s="123" t="s">
        <v>149</v>
      </c>
      <c r="C15" s="175"/>
      <c r="D15" s="177"/>
      <c r="E15" s="120">
        <v>-90459.14</v>
      </c>
      <c r="F15" s="177"/>
      <c r="G15" s="118"/>
      <c r="H15" s="122">
        <f>H14+SUM(D15:G15)</f>
        <v>9498209.9799999986</v>
      </c>
    </row>
    <row r="16" spans="1:8" x14ac:dyDescent="0.2">
      <c r="A16" s="121">
        <f>+'FERC Interest Rates'!A99</f>
        <v>44012</v>
      </c>
      <c r="B16" s="123" t="s">
        <v>149</v>
      </c>
      <c r="C16" s="175"/>
      <c r="D16" s="177"/>
      <c r="E16" s="120">
        <v>-90459.14</v>
      </c>
      <c r="F16" s="177"/>
      <c r="G16" s="118"/>
      <c r="H16" s="122">
        <f t="shared" ref="H16:H34" si="0">H15+SUM(D16:G16)</f>
        <v>9407750.839999998</v>
      </c>
    </row>
    <row r="17" spans="1:8" x14ac:dyDescent="0.2">
      <c r="A17" s="121">
        <f>+'FERC Interest Rates'!A100</f>
        <v>44043</v>
      </c>
      <c r="B17" s="123" t="s">
        <v>149</v>
      </c>
      <c r="C17" s="175"/>
      <c r="D17" s="177"/>
      <c r="E17" s="120">
        <v>-90459.14</v>
      </c>
      <c r="F17" s="177"/>
      <c r="G17" s="118"/>
      <c r="H17" s="122">
        <f t="shared" si="0"/>
        <v>9317291.6999999974</v>
      </c>
    </row>
    <row r="18" spans="1:8" x14ac:dyDescent="0.2">
      <c r="A18" s="121">
        <f>+'FERC Interest Rates'!A101</f>
        <v>44074</v>
      </c>
      <c r="B18" s="123" t="s">
        <v>149</v>
      </c>
      <c r="C18" s="175"/>
      <c r="D18" s="177"/>
      <c r="E18" s="120">
        <v>-90459.14</v>
      </c>
      <c r="F18" s="177"/>
      <c r="G18" s="118"/>
      <c r="H18" s="122">
        <f t="shared" si="0"/>
        <v>9226832.5599999968</v>
      </c>
    </row>
    <row r="19" spans="1:8" x14ac:dyDescent="0.2">
      <c r="A19" s="121">
        <f>+'FERC Interest Rates'!A102</f>
        <v>44104</v>
      </c>
      <c r="B19" s="123" t="s">
        <v>149</v>
      </c>
      <c r="C19" s="175"/>
      <c r="D19" s="177"/>
      <c r="E19" s="120">
        <v>-90459.14</v>
      </c>
      <c r="F19" s="177"/>
      <c r="G19" s="118"/>
      <c r="H19" s="122">
        <f t="shared" si="0"/>
        <v>9136373.4199999962</v>
      </c>
    </row>
    <row r="20" spans="1:8" x14ac:dyDescent="0.2">
      <c r="A20" s="121">
        <f>+'FERC Interest Rates'!A103</f>
        <v>44135</v>
      </c>
      <c r="B20" s="123" t="s">
        <v>149</v>
      </c>
      <c r="C20" s="175"/>
      <c r="D20" s="177"/>
      <c r="E20" s="120">
        <v>-90459.14</v>
      </c>
      <c r="F20" s="177"/>
      <c r="G20" s="118"/>
      <c r="H20" s="122">
        <f t="shared" si="0"/>
        <v>9045914.2799999956</v>
      </c>
    </row>
    <row r="21" spans="1:8" x14ac:dyDescent="0.2">
      <c r="A21" s="121">
        <f>+'FERC Interest Rates'!A104</f>
        <v>44165</v>
      </c>
      <c r="B21" s="123" t="s">
        <v>149</v>
      </c>
      <c r="C21" s="175"/>
      <c r="D21" s="177"/>
      <c r="E21" s="120">
        <v>-90459.14</v>
      </c>
      <c r="F21" s="177"/>
      <c r="G21" s="118"/>
      <c r="H21" s="122">
        <f t="shared" si="0"/>
        <v>8955455.139999995</v>
      </c>
    </row>
    <row r="22" spans="1:8" x14ac:dyDescent="0.2">
      <c r="A22" s="578" t="s">
        <v>161</v>
      </c>
      <c r="B22" s="578"/>
      <c r="C22" s="578"/>
      <c r="D22" s="578"/>
      <c r="E22" s="578"/>
      <c r="F22" s="578"/>
      <c r="G22" s="35">
        <f>-6290724.15+407405.97+1085509.71</f>
        <v>-4797808.4700000007</v>
      </c>
      <c r="H22" s="122">
        <f t="shared" si="0"/>
        <v>4157646.6699999943</v>
      </c>
    </row>
    <row r="23" spans="1:8" x14ac:dyDescent="0.2">
      <c r="A23" s="121">
        <f>+'FERC Interest Rates'!A105</f>
        <v>44196</v>
      </c>
      <c r="B23" s="123" t="s">
        <v>149</v>
      </c>
      <c r="C23" s="175"/>
      <c r="D23" s="177"/>
      <c r="E23" s="32">
        <v>-45191.81</v>
      </c>
      <c r="F23" s="177"/>
      <c r="G23" s="118"/>
      <c r="H23" s="122">
        <f t="shared" si="0"/>
        <v>4112454.8599999943</v>
      </c>
    </row>
    <row r="24" spans="1:8" x14ac:dyDescent="0.2">
      <c r="A24" s="121">
        <f>+'FERC Interest Rates'!A106</f>
        <v>44227</v>
      </c>
      <c r="B24" s="123" t="s">
        <v>149</v>
      </c>
      <c r="C24" s="175"/>
      <c r="D24" s="177"/>
      <c r="E24" s="32">
        <v>-45191.81</v>
      </c>
      <c r="F24" s="177"/>
      <c r="G24" s="118"/>
      <c r="H24" s="122">
        <f t="shared" si="0"/>
        <v>4067263.0499999942</v>
      </c>
    </row>
    <row r="25" spans="1:8" x14ac:dyDescent="0.2">
      <c r="A25" s="121">
        <f>+'FERC Interest Rates'!A107</f>
        <v>44255</v>
      </c>
      <c r="B25" s="123" t="s">
        <v>149</v>
      </c>
      <c r="C25" s="175"/>
      <c r="D25" s="177"/>
      <c r="E25" s="32">
        <v>-45191.81</v>
      </c>
      <c r="F25" s="177"/>
      <c r="G25" s="118"/>
      <c r="H25" s="122">
        <f t="shared" si="0"/>
        <v>4022071.2399999942</v>
      </c>
    </row>
    <row r="26" spans="1:8" x14ac:dyDescent="0.2">
      <c r="A26" s="121">
        <f>+'FERC Interest Rates'!A108</f>
        <v>44286</v>
      </c>
      <c r="B26" s="123" t="s">
        <v>149</v>
      </c>
      <c r="C26" s="175"/>
      <c r="D26" s="177"/>
      <c r="E26" s="32">
        <v>-45191.81</v>
      </c>
      <c r="F26" s="177"/>
      <c r="G26" s="118"/>
      <c r="H26" s="122">
        <f t="shared" si="0"/>
        <v>3976879.4299999941</v>
      </c>
    </row>
    <row r="27" spans="1:8" x14ac:dyDescent="0.2">
      <c r="A27" s="121">
        <f>+'FERC Interest Rates'!A109</f>
        <v>44316</v>
      </c>
      <c r="B27" s="123" t="s">
        <v>149</v>
      </c>
      <c r="C27" s="175"/>
      <c r="D27" s="177"/>
      <c r="E27" s="32">
        <v>-45191.81</v>
      </c>
      <c r="F27" s="177"/>
      <c r="G27" s="118"/>
      <c r="H27" s="122">
        <f t="shared" si="0"/>
        <v>3931687.6199999941</v>
      </c>
    </row>
    <row r="28" spans="1:8" x14ac:dyDescent="0.2">
      <c r="A28" s="121">
        <f>+'FERC Interest Rates'!A110</f>
        <v>44347</v>
      </c>
      <c r="B28" s="123" t="s">
        <v>149</v>
      </c>
      <c r="C28" s="175"/>
      <c r="D28" s="177"/>
      <c r="E28" s="32">
        <v>-45191.81</v>
      </c>
      <c r="F28" s="177"/>
      <c r="G28" s="118"/>
      <c r="H28" s="122">
        <f t="shared" si="0"/>
        <v>3886495.809999994</v>
      </c>
    </row>
    <row r="29" spans="1:8" x14ac:dyDescent="0.2">
      <c r="A29" s="121">
        <f>+'FERC Interest Rates'!A111</f>
        <v>44377</v>
      </c>
      <c r="B29" s="123" t="s">
        <v>149</v>
      </c>
      <c r="C29" s="175"/>
      <c r="D29" s="177"/>
      <c r="E29" s="32">
        <v>-45191.81</v>
      </c>
      <c r="F29" s="177"/>
      <c r="G29" s="118"/>
      <c r="H29" s="122">
        <f t="shared" si="0"/>
        <v>3841303.9999999939</v>
      </c>
    </row>
    <row r="30" spans="1:8" x14ac:dyDescent="0.2">
      <c r="A30" s="121">
        <f>+'FERC Interest Rates'!A112</f>
        <v>44408</v>
      </c>
      <c r="B30" s="123" t="s">
        <v>149</v>
      </c>
      <c r="C30" s="175"/>
      <c r="D30" s="177"/>
      <c r="E30" s="32">
        <v>-45191.81</v>
      </c>
      <c r="F30" s="177"/>
      <c r="G30" s="118"/>
      <c r="H30" s="122">
        <f t="shared" si="0"/>
        <v>3796112.1899999939</v>
      </c>
    </row>
    <row r="31" spans="1:8" x14ac:dyDescent="0.2">
      <c r="A31" s="121">
        <f>+'FERC Interest Rates'!A113</f>
        <v>44439</v>
      </c>
      <c r="B31" s="123" t="s">
        <v>149</v>
      </c>
      <c r="C31" s="175"/>
      <c r="D31" s="177"/>
      <c r="E31" s="32">
        <v>-45191.81</v>
      </c>
      <c r="F31" s="177"/>
      <c r="G31" s="118"/>
      <c r="H31" s="122">
        <f t="shared" si="0"/>
        <v>3750920.3799999938</v>
      </c>
    </row>
    <row r="32" spans="1:8" x14ac:dyDescent="0.2">
      <c r="A32" s="121">
        <f>+'FERC Interest Rates'!A114</f>
        <v>44469</v>
      </c>
      <c r="B32" s="123" t="s">
        <v>149</v>
      </c>
      <c r="C32" s="175"/>
      <c r="D32" s="177"/>
      <c r="E32" s="32">
        <v>-45191.81</v>
      </c>
      <c r="F32" s="177"/>
      <c r="G32" s="118"/>
      <c r="H32" s="122">
        <f t="shared" si="0"/>
        <v>3705728.5699999938</v>
      </c>
    </row>
    <row r="33" spans="1:8" x14ac:dyDescent="0.2">
      <c r="A33" s="121">
        <f>+'FERC Interest Rates'!A115</f>
        <v>44500</v>
      </c>
      <c r="B33" s="123" t="s">
        <v>149</v>
      </c>
      <c r="C33" s="175"/>
      <c r="D33" s="177"/>
      <c r="E33" s="32">
        <v>-45191.81</v>
      </c>
      <c r="F33" s="177"/>
      <c r="G33" s="118"/>
      <c r="H33" s="122">
        <f t="shared" si="0"/>
        <v>3660536.7599999937</v>
      </c>
    </row>
    <row r="34" spans="1:8" x14ac:dyDescent="0.2">
      <c r="A34" s="121">
        <f>+'FERC Interest Rates'!A116</f>
        <v>44530</v>
      </c>
      <c r="B34" s="123" t="s">
        <v>149</v>
      </c>
      <c r="C34" s="175"/>
      <c r="D34" s="177"/>
      <c r="E34" s="32">
        <v>-45191.81</v>
      </c>
      <c r="F34" s="177"/>
      <c r="G34" s="118"/>
      <c r="H34" s="122">
        <f t="shared" si="0"/>
        <v>3615344.9499999937</v>
      </c>
    </row>
    <row r="35" spans="1:8" x14ac:dyDescent="0.2">
      <c r="A35" s="121">
        <f>+'FERC Interest Rates'!A117</f>
        <v>44561</v>
      </c>
      <c r="B35" s="123" t="s">
        <v>149</v>
      </c>
      <c r="C35" s="175"/>
      <c r="D35" s="177"/>
      <c r="E35" s="32">
        <v>-45191.81</v>
      </c>
      <c r="F35" s="177"/>
      <c r="G35" s="118"/>
      <c r="H35" s="122">
        <f t="shared" ref="H35:H41" si="1">H34+SUM(D35:G35)</f>
        <v>3570153.1399999936</v>
      </c>
    </row>
    <row r="36" spans="1:8" x14ac:dyDescent="0.2">
      <c r="A36" s="121">
        <f>+'FERC Interest Rates'!A118</f>
        <v>44592</v>
      </c>
      <c r="B36" s="123" t="s">
        <v>149</v>
      </c>
      <c r="C36" s="175"/>
      <c r="D36" s="177"/>
      <c r="E36" s="32">
        <v>-45191.81</v>
      </c>
      <c r="F36" s="177"/>
      <c r="G36" s="118"/>
      <c r="H36" s="122">
        <f t="shared" si="1"/>
        <v>3524961.3299999936</v>
      </c>
    </row>
    <row r="37" spans="1:8" x14ac:dyDescent="0.2">
      <c r="A37" s="121">
        <f>+'FERC Interest Rates'!A119</f>
        <v>44620</v>
      </c>
      <c r="B37" s="123" t="s">
        <v>149</v>
      </c>
      <c r="C37" s="175"/>
      <c r="D37" s="177"/>
      <c r="E37" s="32">
        <v>-45191.81</v>
      </c>
      <c r="F37" s="177"/>
      <c r="G37" s="118"/>
      <c r="H37" s="122">
        <f t="shared" si="1"/>
        <v>3479769.5199999935</v>
      </c>
    </row>
    <row r="38" spans="1:8" x14ac:dyDescent="0.2">
      <c r="A38" s="121">
        <f>+'FERC Interest Rates'!A120</f>
        <v>44651</v>
      </c>
      <c r="B38" s="123" t="s">
        <v>149</v>
      </c>
      <c r="C38" s="175"/>
      <c r="D38" s="177"/>
      <c r="E38" s="32">
        <v>-45191.81</v>
      </c>
      <c r="F38" s="177"/>
      <c r="G38" s="118"/>
      <c r="H38" s="122">
        <f t="shared" si="1"/>
        <v>3434577.7099999934</v>
      </c>
    </row>
    <row r="39" spans="1:8" x14ac:dyDescent="0.2">
      <c r="A39" s="121">
        <f>+'FERC Interest Rates'!A121</f>
        <v>44681</v>
      </c>
      <c r="B39" s="123" t="s">
        <v>149</v>
      </c>
      <c r="C39" s="175"/>
      <c r="D39" s="177"/>
      <c r="E39" s="32">
        <v>-45191.81</v>
      </c>
      <c r="F39" s="177"/>
      <c r="G39" s="118"/>
      <c r="H39" s="122">
        <f t="shared" si="1"/>
        <v>3389385.8999999934</v>
      </c>
    </row>
    <row r="40" spans="1:8" x14ac:dyDescent="0.2">
      <c r="A40" s="121">
        <f>+'FERC Interest Rates'!A122</f>
        <v>44712</v>
      </c>
      <c r="B40" s="123" t="s">
        <v>149</v>
      </c>
      <c r="C40" s="175"/>
      <c r="D40" s="177"/>
      <c r="E40" s="32">
        <v>-45191.81</v>
      </c>
      <c r="F40" s="177"/>
      <c r="G40" s="118"/>
      <c r="H40" s="122">
        <f t="shared" si="1"/>
        <v>3344194.0899999933</v>
      </c>
    </row>
    <row r="41" spans="1:8" x14ac:dyDescent="0.2">
      <c r="A41" s="121">
        <f>+'FERC Interest Rates'!A123</f>
        <v>44742</v>
      </c>
      <c r="B41" s="123" t="s">
        <v>149</v>
      </c>
      <c r="C41" s="175"/>
      <c r="D41" s="177"/>
      <c r="E41" s="32">
        <v>-45191.81</v>
      </c>
      <c r="F41" s="177"/>
      <c r="G41" s="118"/>
      <c r="H41" s="122">
        <f t="shared" si="1"/>
        <v>3299002.2799999933</v>
      </c>
    </row>
  </sheetData>
  <mergeCells count="18">
    <mergeCell ref="A4:B4"/>
    <mergeCell ref="C4:H4"/>
    <mergeCell ref="A5:B5"/>
    <mergeCell ref="C5:H5"/>
    <mergeCell ref="A6:B6"/>
    <mergeCell ref="C6:H6"/>
    <mergeCell ref="A1:B1"/>
    <mergeCell ref="C1:H1"/>
    <mergeCell ref="A2:B2"/>
    <mergeCell ref="C2:H2"/>
    <mergeCell ref="A3:B3"/>
    <mergeCell ref="C3:H3"/>
    <mergeCell ref="C7:H7"/>
    <mergeCell ref="D9:F9"/>
    <mergeCell ref="A11:F11"/>
    <mergeCell ref="A12:F12"/>
    <mergeCell ref="A22:F22"/>
    <mergeCell ref="A7:B7"/>
  </mergeCells>
  <printOptions horizontalCentered="1"/>
  <pageMargins left="0.5" right="0.25" top="0.5" bottom="0.25" header="0.3" footer="0.3"/>
  <pageSetup scale="89" fitToHeight="0" orientation="portrait" r:id="rId1"/>
  <headerFooter>
    <oddFooter>&amp;L&amp;"-,Bold"&amp;10Cascade Natural Gas Corporation&amp;C&amp;"-,Bold"&amp;10&amp;P of &amp;N&amp;R&amp;"-,Bold"&amp;10Washington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42"/>
  <sheetViews>
    <sheetView view="pageBreakPreview" zoomScale="75" zoomScaleNormal="100" zoomScaleSheetLayoutView="75" workbookViewId="0">
      <selection activeCell="H42" sqref="H42"/>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16384" width="8.88671875" style="1"/>
  </cols>
  <sheetData>
    <row r="1" spans="1:8" x14ac:dyDescent="0.2">
      <c r="A1" s="548" t="s">
        <v>13</v>
      </c>
      <c r="B1" s="549"/>
      <c r="C1" s="588" t="s">
        <v>14</v>
      </c>
      <c r="D1" s="588"/>
      <c r="E1" s="588"/>
      <c r="F1" s="588"/>
      <c r="G1" s="588"/>
      <c r="H1" s="589"/>
    </row>
    <row r="2" spans="1:8" x14ac:dyDescent="0.2">
      <c r="A2" s="541" t="s">
        <v>16</v>
      </c>
      <c r="B2" s="533"/>
      <c r="C2" s="583" t="s">
        <v>167</v>
      </c>
      <c r="D2" s="583"/>
      <c r="E2" s="583"/>
      <c r="F2" s="583"/>
      <c r="G2" s="583"/>
      <c r="H2" s="584"/>
    </row>
    <row r="3" spans="1:8" x14ac:dyDescent="0.2">
      <c r="A3" s="541" t="s">
        <v>17</v>
      </c>
      <c r="B3" s="533"/>
      <c r="C3" s="583" t="s">
        <v>162</v>
      </c>
      <c r="D3" s="583"/>
      <c r="E3" s="583"/>
      <c r="F3" s="583"/>
      <c r="G3" s="583"/>
      <c r="H3" s="584"/>
    </row>
    <row r="4" spans="1:8" x14ac:dyDescent="0.2">
      <c r="A4" s="541" t="s">
        <v>18</v>
      </c>
      <c r="B4" s="533"/>
      <c r="C4" s="583"/>
      <c r="D4" s="583"/>
      <c r="E4" s="583"/>
      <c r="F4" s="583"/>
      <c r="G4" s="583"/>
      <c r="H4" s="584"/>
    </row>
    <row r="5" spans="1:8" x14ac:dyDescent="0.2">
      <c r="A5" s="541" t="s">
        <v>20</v>
      </c>
      <c r="B5" s="533"/>
      <c r="C5" s="583" t="s">
        <v>163</v>
      </c>
      <c r="D5" s="583"/>
      <c r="E5" s="583"/>
      <c r="F5" s="583"/>
      <c r="G5" s="583"/>
      <c r="H5" s="584"/>
    </row>
    <row r="6" spans="1:8" x14ac:dyDescent="0.2">
      <c r="A6" s="541" t="s">
        <v>21</v>
      </c>
      <c r="B6" s="533"/>
      <c r="C6" s="583" t="s">
        <v>155</v>
      </c>
      <c r="D6" s="583"/>
      <c r="E6" s="583"/>
      <c r="F6" s="583"/>
      <c r="G6" s="583"/>
      <c r="H6" s="584"/>
    </row>
    <row r="7" spans="1:8" ht="40.5" customHeight="1" thickBot="1" x14ac:dyDescent="0.25">
      <c r="A7" s="542" t="s">
        <v>22</v>
      </c>
      <c r="B7" s="543"/>
      <c r="C7" s="585" t="s">
        <v>164</v>
      </c>
      <c r="D7" s="585"/>
      <c r="E7" s="585"/>
      <c r="F7" s="585"/>
      <c r="G7" s="585"/>
      <c r="H7" s="586"/>
    </row>
    <row r="8" spans="1:8" x14ac:dyDescent="0.2">
      <c r="A8" s="168"/>
      <c r="B8" s="168"/>
      <c r="C8" s="178"/>
      <c r="D8" s="178"/>
      <c r="E8" s="178"/>
      <c r="F8" s="178"/>
      <c r="G8" s="178"/>
      <c r="H8" s="178"/>
    </row>
    <row r="9" spans="1:8" x14ac:dyDescent="0.2">
      <c r="A9" s="167"/>
      <c r="C9" s="146"/>
      <c r="D9" s="587" t="s">
        <v>38</v>
      </c>
      <c r="E9" s="587"/>
      <c r="F9" s="587"/>
      <c r="G9" s="146"/>
      <c r="H9" s="146"/>
    </row>
    <row r="10" spans="1:8" s="125" customFormat="1" ht="27" customHeight="1" x14ac:dyDescent="0.2">
      <c r="A10" s="5" t="s">
        <v>39</v>
      </c>
      <c r="B10" s="5" t="s">
        <v>4</v>
      </c>
      <c r="C10" s="5" t="s">
        <v>12</v>
      </c>
      <c r="D10" s="5" t="s">
        <v>23</v>
      </c>
      <c r="E10" s="5" t="s">
        <v>24</v>
      </c>
      <c r="F10" s="5" t="s">
        <v>2</v>
      </c>
      <c r="G10" s="5" t="s">
        <v>0</v>
      </c>
      <c r="H10" s="5" t="s">
        <v>1</v>
      </c>
    </row>
    <row r="11" spans="1:8" x14ac:dyDescent="0.2">
      <c r="A11" s="119"/>
      <c r="B11" s="119"/>
      <c r="C11" s="119"/>
      <c r="D11" s="119"/>
      <c r="E11" s="119"/>
      <c r="F11" s="119"/>
      <c r="G11" s="119"/>
      <c r="H11" s="120"/>
    </row>
    <row r="12" spans="1:8" x14ac:dyDescent="0.2">
      <c r="A12" s="578" t="s">
        <v>157</v>
      </c>
      <c r="B12" s="578"/>
      <c r="C12" s="578"/>
      <c r="D12" s="578"/>
      <c r="E12" s="578"/>
      <c r="F12" s="578"/>
      <c r="G12" s="120">
        <v>0</v>
      </c>
      <c r="H12" s="120"/>
    </row>
    <row r="13" spans="1:8" x14ac:dyDescent="0.2">
      <c r="A13" s="578"/>
      <c r="B13" s="578"/>
      <c r="C13" s="578"/>
      <c r="D13" s="578"/>
      <c r="E13" s="578"/>
      <c r="F13" s="578"/>
      <c r="G13" s="120"/>
      <c r="H13" s="120">
        <f>SUM(G12:G12)</f>
        <v>0</v>
      </c>
    </row>
    <row r="14" spans="1:8" x14ac:dyDescent="0.2">
      <c r="A14" s="121">
        <f>+'FERC Interest Rates'!A96</f>
        <v>43921</v>
      </c>
      <c r="B14" s="123" t="s">
        <v>149</v>
      </c>
      <c r="C14" s="175"/>
      <c r="D14" s="176"/>
      <c r="E14" s="120">
        <v>0</v>
      </c>
      <c r="F14" s="176"/>
      <c r="G14" s="120"/>
      <c r="H14" s="120">
        <f>H13+SUM(E14:G14)</f>
        <v>0</v>
      </c>
    </row>
    <row r="15" spans="1:8" x14ac:dyDescent="0.2">
      <c r="A15" s="121">
        <f>+'FERC Interest Rates'!A97</f>
        <v>43951</v>
      </c>
      <c r="B15" s="123" t="s">
        <v>149</v>
      </c>
      <c r="C15" s="175"/>
      <c r="D15" s="176"/>
      <c r="E15" s="120">
        <v>0</v>
      </c>
      <c r="F15" s="176"/>
      <c r="G15" s="120"/>
      <c r="H15" s="120">
        <f>H14+SUM(D15:G15)</f>
        <v>0</v>
      </c>
    </row>
    <row r="16" spans="1:8" x14ac:dyDescent="0.2">
      <c r="A16" s="121">
        <f>+'FERC Interest Rates'!A98</f>
        <v>43982</v>
      </c>
      <c r="B16" s="123" t="s">
        <v>149</v>
      </c>
      <c r="C16" s="175"/>
      <c r="D16" s="177"/>
      <c r="E16" s="120">
        <v>0</v>
      </c>
      <c r="F16" s="177"/>
      <c r="G16" s="118"/>
      <c r="H16" s="122">
        <f>H15+SUM(D16:G16)</f>
        <v>0</v>
      </c>
    </row>
    <row r="17" spans="1:8" x14ac:dyDescent="0.2">
      <c r="A17" s="121">
        <f>+'FERC Interest Rates'!A99</f>
        <v>44012</v>
      </c>
      <c r="B17" s="123" t="s">
        <v>149</v>
      </c>
      <c r="C17" s="175"/>
      <c r="D17" s="177"/>
      <c r="E17" s="120">
        <v>0</v>
      </c>
      <c r="F17" s="177"/>
      <c r="G17" s="118"/>
      <c r="H17" s="122">
        <f t="shared" ref="H17:H35" si="0">H16+SUM(D17:G17)</f>
        <v>0</v>
      </c>
    </row>
    <row r="18" spans="1:8" x14ac:dyDescent="0.2">
      <c r="A18" s="121">
        <f>+'FERC Interest Rates'!A100</f>
        <v>44043</v>
      </c>
      <c r="B18" s="123" t="s">
        <v>149</v>
      </c>
      <c r="C18" s="175"/>
      <c r="D18" s="177"/>
      <c r="E18" s="120">
        <v>0</v>
      </c>
      <c r="F18" s="177"/>
      <c r="G18" s="118"/>
      <c r="H18" s="122">
        <f t="shared" si="0"/>
        <v>0</v>
      </c>
    </row>
    <row r="19" spans="1:8" x14ac:dyDescent="0.2">
      <c r="A19" s="121">
        <f>+'FERC Interest Rates'!A101</f>
        <v>44074</v>
      </c>
      <c r="B19" s="123" t="s">
        <v>149</v>
      </c>
      <c r="C19" s="175"/>
      <c r="D19" s="177"/>
      <c r="E19" s="120">
        <v>0</v>
      </c>
      <c r="F19" s="177"/>
      <c r="G19" s="118"/>
      <c r="H19" s="122">
        <f t="shared" si="0"/>
        <v>0</v>
      </c>
    </row>
    <row r="20" spans="1:8" x14ac:dyDescent="0.2">
      <c r="A20" s="121">
        <f>+'FERC Interest Rates'!A102</f>
        <v>44104</v>
      </c>
      <c r="B20" s="123" t="s">
        <v>149</v>
      </c>
      <c r="C20" s="175"/>
      <c r="D20" s="177"/>
      <c r="E20" s="120">
        <v>0</v>
      </c>
      <c r="F20" s="177"/>
      <c r="G20" s="118"/>
      <c r="H20" s="122">
        <f t="shared" si="0"/>
        <v>0</v>
      </c>
    </row>
    <row r="21" spans="1:8" x14ac:dyDescent="0.2">
      <c r="A21" s="121">
        <f>+'FERC Interest Rates'!A103</f>
        <v>44135</v>
      </c>
      <c r="B21" s="123" t="s">
        <v>149</v>
      </c>
      <c r="C21" s="175"/>
      <c r="D21" s="177"/>
      <c r="E21" s="120">
        <v>0</v>
      </c>
      <c r="F21" s="177"/>
      <c r="G21" s="118"/>
      <c r="H21" s="122">
        <f t="shared" si="0"/>
        <v>0</v>
      </c>
    </row>
    <row r="22" spans="1:8" x14ac:dyDescent="0.2">
      <c r="A22" s="121">
        <f>+'FERC Interest Rates'!A104</f>
        <v>44165</v>
      </c>
      <c r="B22" s="123" t="s">
        <v>149</v>
      </c>
      <c r="C22" s="175"/>
      <c r="D22" s="177"/>
      <c r="E22" s="120">
        <v>0</v>
      </c>
      <c r="F22" s="177"/>
      <c r="G22" s="118"/>
      <c r="H22" s="122">
        <f t="shared" si="0"/>
        <v>0</v>
      </c>
    </row>
    <row r="23" spans="1:8" x14ac:dyDescent="0.2">
      <c r="A23" s="578" t="s">
        <v>161</v>
      </c>
      <c r="B23" s="578"/>
      <c r="C23" s="578"/>
      <c r="D23" s="578"/>
      <c r="E23" s="578"/>
      <c r="F23" s="578"/>
      <c r="G23" s="35">
        <f>5432079.76-407405.97</f>
        <v>5024673.79</v>
      </c>
      <c r="H23" s="122">
        <f t="shared" si="0"/>
        <v>5024673.79</v>
      </c>
    </row>
    <row r="24" spans="1:8" x14ac:dyDescent="0.2">
      <c r="A24" s="121">
        <f>+'FERC Interest Rates'!A105</f>
        <v>44196</v>
      </c>
      <c r="B24" s="123" t="s">
        <v>149</v>
      </c>
      <c r="C24" s="175"/>
      <c r="D24" s="177"/>
      <c r="E24" s="120">
        <v>-45267.33</v>
      </c>
      <c r="F24" s="177"/>
      <c r="G24" s="118"/>
      <c r="H24" s="122">
        <f t="shared" si="0"/>
        <v>4979406.46</v>
      </c>
    </row>
    <row r="25" spans="1:8" x14ac:dyDescent="0.2">
      <c r="A25" s="121">
        <f>+'FERC Interest Rates'!A106</f>
        <v>44227</v>
      </c>
      <c r="B25" s="123" t="s">
        <v>149</v>
      </c>
      <c r="C25" s="175"/>
      <c r="D25" s="177"/>
      <c r="E25" s="120">
        <v>-45267.33</v>
      </c>
      <c r="F25" s="177"/>
      <c r="G25" s="118"/>
      <c r="H25" s="122">
        <f t="shared" si="0"/>
        <v>4934139.13</v>
      </c>
    </row>
    <row r="26" spans="1:8" x14ac:dyDescent="0.2">
      <c r="A26" s="121">
        <f>+'FERC Interest Rates'!A107</f>
        <v>44255</v>
      </c>
      <c r="B26" s="123" t="s">
        <v>149</v>
      </c>
      <c r="C26" s="175"/>
      <c r="D26" s="177"/>
      <c r="E26" s="120">
        <v>-45267.33</v>
      </c>
      <c r="F26" s="177"/>
      <c r="G26" s="118"/>
      <c r="H26" s="122">
        <f t="shared" si="0"/>
        <v>4888871.8</v>
      </c>
    </row>
    <row r="27" spans="1:8" x14ac:dyDescent="0.2">
      <c r="A27" s="121">
        <f>+'FERC Interest Rates'!A108</f>
        <v>44286</v>
      </c>
      <c r="B27" s="123" t="s">
        <v>149</v>
      </c>
      <c r="C27" s="175"/>
      <c r="D27" s="177"/>
      <c r="E27" s="120">
        <v>-45267.33</v>
      </c>
      <c r="F27" s="177"/>
      <c r="G27" s="118"/>
      <c r="H27" s="122">
        <f t="shared" si="0"/>
        <v>4843604.47</v>
      </c>
    </row>
    <row r="28" spans="1:8" x14ac:dyDescent="0.2">
      <c r="A28" s="121">
        <f>+'FERC Interest Rates'!A109</f>
        <v>44316</v>
      </c>
      <c r="B28" s="123" t="s">
        <v>149</v>
      </c>
      <c r="C28" s="175"/>
      <c r="D28" s="177"/>
      <c r="E28" s="120">
        <v>-45267.33</v>
      </c>
      <c r="F28" s="177"/>
      <c r="G28" s="118"/>
      <c r="H28" s="122">
        <f t="shared" si="0"/>
        <v>4798337.1399999997</v>
      </c>
    </row>
    <row r="29" spans="1:8" x14ac:dyDescent="0.2">
      <c r="A29" s="121">
        <f>+'FERC Interest Rates'!A110</f>
        <v>44347</v>
      </c>
      <c r="B29" s="123" t="s">
        <v>149</v>
      </c>
      <c r="C29" s="175"/>
      <c r="D29" s="177"/>
      <c r="E29" s="120">
        <v>-45267.33</v>
      </c>
      <c r="F29" s="177"/>
      <c r="G29" s="118"/>
      <c r="H29" s="122">
        <f t="shared" si="0"/>
        <v>4753069.8099999996</v>
      </c>
    </row>
    <row r="30" spans="1:8" x14ac:dyDescent="0.2">
      <c r="A30" s="121">
        <f>+'FERC Interest Rates'!A111</f>
        <v>44377</v>
      </c>
      <c r="B30" s="123" t="s">
        <v>149</v>
      </c>
      <c r="C30" s="175"/>
      <c r="D30" s="177"/>
      <c r="E30" s="120">
        <v>-45267.33</v>
      </c>
      <c r="F30" s="177"/>
      <c r="G30" s="118"/>
      <c r="H30" s="122">
        <f t="shared" si="0"/>
        <v>4707802.4799999995</v>
      </c>
    </row>
    <row r="31" spans="1:8" x14ac:dyDescent="0.2">
      <c r="A31" s="121">
        <f>+'FERC Interest Rates'!A112</f>
        <v>44408</v>
      </c>
      <c r="B31" s="123" t="s">
        <v>149</v>
      </c>
      <c r="C31" s="175"/>
      <c r="D31" s="177"/>
      <c r="E31" s="120">
        <v>-45267.33</v>
      </c>
      <c r="F31" s="177"/>
      <c r="G31" s="118"/>
      <c r="H31" s="122">
        <f t="shared" si="0"/>
        <v>4662535.1499999994</v>
      </c>
    </row>
    <row r="32" spans="1:8" x14ac:dyDescent="0.2">
      <c r="A32" s="121">
        <f>+'FERC Interest Rates'!A113</f>
        <v>44439</v>
      </c>
      <c r="B32" s="123" t="s">
        <v>149</v>
      </c>
      <c r="C32" s="175"/>
      <c r="D32" s="177"/>
      <c r="E32" s="120">
        <v>-45267.33</v>
      </c>
      <c r="F32" s="177"/>
      <c r="G32" s="118"/>
      <c r="H32" s="122">
        <f t="shared" si="0"/>
        <v>4617267.8199999994</v>
      </c>
    </row>
    <row r="33" spans="1:8" x14ac:dyDescent="0.2">
      <c r="A33" s="121">
        <f>+'FERC Interest Rates'!A114</f>
        <v>44469</v>
      </c>
      <c r="B33" s="123" t="s">
        <v>149</v>
      </c>
      <c r="C33" s="175"/>
      <c r="D33" s="177"/>
      <c r="E33" s="120">
        <v>-45267.33</v>
      </c>
      <c r="F33" s="177"/>
      <c r="G33" s="118"/>
      <c r="H33" s="122">
        <f t="shared" si="0"/>
        <v>4572000.4899999993</v>
      </c>
    </row>
    <row r="34" spans="1:8" x14ac:dyDescent="0.2">
      <c r="A34" s="121">
        <f>+'FERC Interest Rates'!A115</f>
        <v>44500</v>
      </c>
      <c r="B34" s="123" t="s">
        <v>149</v>
      </c>
      <c r="C34" s="175"/>
      <c r="D34" s="177"/>
      <c r="E34" s="120">
        <v>-45267.33</v>
      </c>
      <c r="F34" s="177"/>
      <c r="G34" s="118"/>
      <c r="H34" s="122">
        <f t="shared" si="0"/>
        <v>4526733.1599999992</v>
      </c>
    </row>
    <row r="35" spans="1:8" x14ac:dyDescent="0.2">
      <c r="A35" s="121">
        <f>+'FERC Interest Rates'!A116</f>
        <v>44530</v>
      </c>
      <c r="B35" s="123" t="s">
        <v>149</v>
      </c>
      <c r="C35" s="175"/>
      <c r="D35" s="177"/>
      <c r="E35" s="120">
        <v>-45267.33</v>
      </c>
      <c r="F35" s="177"/>
      <c r="G35" s="118"/>
      <c r="H35" s="122">
        <f t="shared" si="0"/>
        <v>4481465.8299999991</v>
      </c>
    </row>
    <row r="36" spans="1:8" x14ac:dyDescent="0.2">
      <c r="A36" s="121">
        <f>+'FERC Interest Rates'!A117</f>
        <v>44561</v>
      </c>
      <c r="B36" s="123" t="s">
        <v>149</v>
      </c>
      <c r="C36" s="175"/>
      <c r="D36" s="177"/>
      <c r="E36" s="120">
        <v>-45267.33</v>
      </c>
      <c r="F36" s="177"/>
      <c r="G36" s="118"/>
      <c r="H36" s="122">
        <f t="shared" ref="H36:H42" si="1">H35+SUM(D36:G36)</f>
        <v>4436198.4999999991</v>
      </c>
    </row>
    <row r="37" spans="1:8" x14ac:dyDescent="0.2">
      <c r="A37" s="121">
        <f>+'FERC Interest Rates'!A118</f>
        <v>44592</v>
      </c>
      <c r="B37" s="123" t="s">
        <v>149</v>
      </c>
      <c r="C37" s="175"/>
      <c r="D37" s="177"/>
      <c r="E37" s="120">
        <v>-45267.33</v>
      </c>
      <c r="F37" s="177"/>
      <c r="G37" s="118"/>
      <c r="H37" s="122">
        <f t="shared" si="1"/>
        <v>4390931.169999999</v>
      </c>
    </row>
    <row r="38" spans="1:8" x14ac:dyDescent="0.2">
      <c r="A38" s="121">
        <f>+'FERC Interest Rates'!A119</f>
        <v>44620</v>
      </c>
      <c r="B38" s="123" t="s">
        <v>149</v>
      </c>
      <c r="C38" s="175"/>
      <c r="D38" s="177"/>
      <c r="E38" s="120">
        <v>-45267.33</v>
      </c>
      <c r="F38" s="177"/>
      <c r="G38" s="118"/>
      <c r="H38" s="122">
        <f t="shared" si="1"/>
        <v>4345663.8399999989</v>
      </c>
    </row>
    <row r="39" spans="1:8" x14ac:dyDescent="0.2">
      <c r="A39" s="121">
        <f>+'FERC Interest Rates'!A120</f>
        <v>44651</v>
      </c>
      <c r="B39" s="123" t="s">
        <v>149</v>
      </c>
      <c r="C39" s="175"/>
      <c r="D39" s="177"/>
      <c r="E39" s="120">
        <v>-45267.33</v>
      </c>
      <c r="F39" s="177"/>
      <c r="G39" s="118"/>
      <c r="H39" s="122">
        <f t="shared" si="1"/>
        <v>4300396.5099999988</v>
      </c>
    </row>
    <row r="40" spans="1:8" x14ac:dyDescent="0.2">
      <c r="A40" s="121">
        <f>+'FERC Interest Rates'!A121</f>
        <v>44681</v>
      </c>
      <c r="B40" s="123" t="s">
        <v>149</v>
      </c>
      <c r="C40" s="175"/>
      <c r="D40" s="177"/>
      <c r="E40" s="120">
        <v>-45267.33</v>
      </c>
      <c r="F40" s="177"/>
      <c r="G40" s="118"/>
      <c r="H40" s="122">
        <f t="shared" si="1"/>
        <v>4255129.1799999988</v>
      </c>
    </row>
    <row r="41" spans="1:8" x14ac:dyDescent="0.2">
      <c r="A41" s="121">
        <f>+'FERC Interest Rates'!A122</f>
        <v>44712</v>
      </c>
      <c r="B41" s="123" t="s">
        <v>149</v>
      </c>
      <c r="C41" s="175"/>
      <c r="D41" s="177"/>
      <c r="E41" s="120">
        <v>-45267.33</v>
      </c>
      <c r="F41" s="177"/>
      <c r="G41" s="118"/>
      <c r="H41" s="122">
        <f t="shared" si="1"/>
        <v>4209861.8499999987</v>
      </c>
    </row>
    <row r="42" spans="1:8" x14ac:dyDescent="0.2">
      <c r="A42" s="121">
        <f>+'FERC Interest Rates'!A123</f>
        <v>44742</v>
      </c>
      <c r="B42" s="123" t="s">
        <v>149</v>
      </c>
      <c r="C42" s="175"/>
      <c r="D42" s="177"/>
      <c r="E42" s="120">
        <v>-45267.33</v>
      </c>
      <c r="F42" s="177"/>
      <c r="G42" s="118"/>
      <c r="H42" s="122">
        <f t="shared" si="1"/>
        <v>4164594.5199999986</v>
      </c>
    </row>
  </sheetData>
  <mergeCells count="18">
    <mergeCell ref="A1:B1"/>
    <mergeCell ref="C1:H1"/>
    <mergeCell ref="A2:B2"/>
    <mergeCell ref="C2:H2"/>
    <mergeCell ref="A3:B3"/>
    <mergeCell ref="C3:H3"/>
    <mergeCell ref="A23:F23"/>
    <mergeCell ref="A4:B4"/>
    <mergeCell ref="C4:H4"/>
    <mergeCell ref="A5:B5"/>
    <mergeCell ref="C5:H5"/>
    <mergeCell ref="A6:B6"/>
    <mergeCell ref="C6:H6"/>
    <mergeCell ref="A7:B7"/>
    <mergeCell ref="C7:H7"/>
    <mergeCell ref="D9:F9"/>
    <mergeCell ref="A12:F12"/>
    <mergeCell ref="A13:F13"/>
  </mergeCells>
  <printOptions horizontalCentered="1"/>
  <pageMargins left="0.5" right="0.25" top="0.5" bottom="0.25" header="0.3" footer="0.3"/>
  <pageSetup scale="89" fitToHeight="0" orientation="portrait" r:id="rId1"/>
  <headerFooter>
    <oddFooter>&amp;L&amp;"-,Bold"&amp;10Cascade Natural Gas Corporation&amp;C&amp;"-,Bold"&amp;10&amp;P of &amp;N&amp;R&amp;"-,Bold"&amp;10Washington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520ED-2A8E-4370-A2BA-671221639361}">
  <dimension ref="A1:H25"/>
  <sheetViews>
    <sheetView view="pageBreakPreview" zoomScale="75" zoomScaleNormal="100" zoomScaleSheetLayoutView="75" workbookViewId="0">
      <selection activeCell="H25" sqref="H25"/>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16384" width="8.88671875" style="1"/>
  </cols>
  <sheetData>
    <row r="1" spans="1:8" x14ac:dyDescent="0.2">
      <c r="A1" s="548" t="s">
        <v>13</v>
      </c>
      <c r="B1" s="549"/>
      <c r="C1" s="579" t="s">
        <v>14</v>
      </c>
      <c r="D1" s="579"/>
      <c r="E1" s="579"/>
      <c r="F1" s="579"/>
      <c r="G1" s="579"/>
      <c r="H1" s="580"/>
    </row>
    <row r="2" spans="1:8" x14ac:dyDescent="0.2">
      <c r="A2" s="541" t="s">
        <v>16</v>
      </c>
      <c r="B2" s="533"/>
      <c r="C2" s="581" t="s">
        <v>170</v>
      </c>
      <c r="D2" s="581"/>
      <c r="E2" s="581"/>
      <c r="F2" s="581"/>
      <c r="G2" s="581"/>
      <c r="H2" s="582"/>
    </row>
    <row r="3" spans="1:8" x14ac:dyDescent="0.2">
      <c r="A3" s="541" t="s">
        <v>17</v>
      </c>
      <c r="B3" s="533"/>
      <c r="C3" s="581" t="s">
        <v>173</v>
      </c>
      <c r="D3" s="581"/>
      <c r="E3" s="581"/>
      <c r="F3" s="581"/>
      <c r="G3" s="581"/>
      <c r="H3" s="582"/>
    </row>
    <row r="4" spans="1:8" x14ac:dyDescent="0.2">
      <c r="A4" s="541" t="s">
        <v>18</v>
      </c>
      <c r="B4" s="533"/>
      <c r="C4" s="581"/>
      <c r="D4" s="581"/>
      <c r="E4" s="581"/>
      <c r="F4" s="581"/>
      <c r="G4" s="581"/>
      <c r="H4" s="582"/>
    </row>
    <row r="5" spans="1:8" x14ac:dyDescent="0.2">
      <c r="A5" s="541" t="s">
        <v>20</v>
      </c>
      <c r="B5" s="533"/>
      <c r="C5" s="583" t="s">
        <v>174</v>
      </c>
      <c r="D5" s="583"/>
      <c r="E5" s="583"/>
      <c r="F5" s="583"/>
      <c r="G5" s="583"/>
      <c r="H5" s="584"/>
    </row>
    <row r="6" spans="1:8" x14ac:dyDescent="0.2">
      <c r="A6" s="541" t="s">
        <v>21</v>
      </c>
      <c r="B6" s="533"/>
      <c r="C6" s="581" t="s">
        <v>171</v>
      </c>
      <c r="D6" s="581"/>
      <c r="E6" s="581"/>
      <c r="F6" s="581"/>
      <c r="G6" s="581"/>
      <c r="H6" s="582"/>
    </row>
    <row r="7" spans="1:8" ht="40.5" customHeight="1" thickBot="1" x14ac:dyDescent="0.25">
      <c r="A7" s="542" t="s">
        <v>22</v>
      </c>
      <c r="B7" s="543"/>
      <c r="C7" s="585" t="s">
        <v>175</v>
      </c>
      <c r="D7" s="585"/>
      <c r="E7" s="585"/>
      <c r="F7" s="585"/>
      <c r="G7" s="585"/>
      <c r="H7" s="586"/>
    </row>
    <row r="8" spans="1:8" x14ac:dyDescent="0.2">
      <c r="A8" s="170"/>
      <c r="B8" s="170"/>
      <c r="C8" s="3"/>
      <c r="D8" s="3"/>
      <c r="E8" s="3"/>
      <c r="F8" s="3"/>
      <c r="G8" s="3"/>
      <c r="H8" s="3"/>
    </row>
    <row r="9" spans="1:8" x14ac:dyDescent="0.2">
      <c r="A9" s="169"/>
      <c r="D9" s="529" t="s">
        <v>38</v>
      </c>
      <c r="E9" s="529"/>
      <c r="F9" s="529"/>
    </row>
    <row r="10" spans="1:8" s="125" customFormat="1" ht="28.5" customHeight="1" x14ac:dyDescent="0.2">
      <c r="A10" s="5" t="s">
        <v>39</v>
      </c>
      <c r="B10" s="5" t="s">
        <v>4</v>
      </c>
      <c r="C10" s="5" t="s">
        <v>12</v>
      </c>
      <c r="D10" s="5" t="s">
        <v>23</v>
      </c>
      <c r="E10" s="5" t="s">
        <v>24</v>
      </c>
      <c r="F10" s="5" t="s">
        <v>2</v>
      </c>
      <c r="G10" s="5" t="s">
        <v>0</v>
      </c>
      <c r="H10" s="5" t="s">
        <v>1</v>
      </c>
    </row>
    <row r="11" spans="1:8" x14ac:dyDescent="0.2">
      <c r="A11" s="119"/>
      <c r="B11" s="119"/>
      <c r="C11" s="119"/>
      <c r="D11" s="119"/>
      <c r="E11" s="119"/>
      <c r="F11" s="119"/>
      <c r="G11" s="119"/>
      <c r="H11" s="120"/>
    </row>
    <row r="12" spans="1:8" x14ac:dyDescent="0.2">
      <c r="A12" s="578" t="s">
        <v>148</v>
      </c>
      <c r="B12" s="578"/>
      <c r="C12" s="578"/>
      <c r="D12" s="578"/>
      <c r="E12" s="578"/>
      <c r="F12" s="578"/>
      <c r="G12" s="171">
        <v>2571965</v>
      </c>
      <c r="H12" s="120"/>
    </row>
    <row r="13" spans="1:8" x14ac:dyDescent="0.2">
      <c r="A13" s="578"/>
      <c r="B13" s="578"/>
      <c r="C13" s="578"/>
      <c r="D13" s="578"/>
      <c r="E13" s="578"/>
      <c r="F13" s="578"/>
      <c r="G13" s="120"/>
      <c r="H13" s="120">
        <f>SUM(G12:G12)</f>
        <v>2571965</v>
      </c>
    </row>
    <row r="14" spans="1:8" x14ac:dyDescent="0.2">
      <c r="A14" s="121">
        <f>+'FERC Interest Rates'!A112</f>
        <v>44408</v>
      </c>
      <c r="B14" s="123" t="s">
        <v>149</v>
      </c>
      <c r="C14" s="175"/>
      <c r="D14" s="176"/>
      <c r="E14" s="171">
        <v>-21433.040000000001</v>
      </c>
      <c r="F14" s="176"/>
      <c r="G14" s="120"/>
      <c r="H14" s="120">
        <f>H13+SUM(E14:G14)</f>
        <v>2550531.96</v>
      </c>
    </row>
    <row r="15" spans="1:8" x14ac:dyDescent="0.2">
      <c r="A15" s="121">
        <f>+'FERC Interest Rates'!A113</f>
        <v>44439</v>
      </c>
      <c r="B15" s="123" t="s">
        <v>149</v>
      </c>
      <c r="C15" s="175"/>
      <c r="D15" s="176"/>
      <c r="E15" s="120">
        <v>-21433.040000000001</v>
      </c>
      <c r="F15" s="176"/>
      <c r="G15" s="120"/>
      <c r="H15" s="120">
        <f>H14+SUM(D15:G15)</f>
        <v>2529098.92</v>
      </c>
    </row>
    <row r="16" spans="1:8" x14ac:dyDescent="0.2">
      <c r="A16" s="121">
        <f>+'FERC Interest Rates'!A114</f>
        <v>44469</v>
      </c>
      <c r="B16" s="123" t="s">
        <v>149</v>
      </c>
      <c r="C16" s="175"/>
      <c r="D16" s="177"/>
      <c r="E16" s="120">
        <v>-21433.040000000001</v>
      </c>
      <c r="F16" s="177"/>
      <c r="G16" s="118"/>
      <c r="H16" s="122">
        <f>H15+SUM(D16:G16)</f>
        <v>2507665.88</v>
      </c>
    </row>
    <row r="17" spans="1:8" x14ac:dyDescent="0.2">
      <c r="A17" s="121">
        <f>+'FERC Interest Rates'!A115</f>
        <v>44500</v>
      </c>
      <c r="B17" s="123" t="s">
        <v>149</v>
      </c>
      <c r="C17" s="175"/>
      <c r="D17" s="177"/>
      <c r="E17" s="120">
        <v>-21433.040000000001</v>
      </c>
      <c r="F17" s="177"/>
      <c r="G17" s="118"/>
      <c r="H17" s="122">
        <f t="shared" ref="H17:H25" si="0">H16+SUM(D17:G17)</f>
        <v>2486232.84</v>
      </c>
    </row>
    <row r="18" spans="1:8" x14ac:dyDescent="0.2">
      <c r="A18" s="121">
        <f>+'FERC Interest Rates'!A116</f>
        <v>44530</v>
      </c>
      <c r="B18" s="123" t="s">
        <v>149</v>
      </c>
      <c r="C18" s="175"/>
      <c r="D18" s="177"/>
      <c r="E18" s="120">
        <v>-21433.040000000001</v>
      </c>
      <c r="F18" s="177"/>
      <c r="G18" s="118"/>
      <c r="H18" s="122">
        <f t="shared" si="0"/>
        <v>2464799.7999999998</v>
      </c>
    </row>
    <row r="19" spans="1:8" x14ac:dyDescent="0.2">
      <c r="A19" s="121">
        <f>+'FERC Interest Rates'!A117</f>
        <v>44561</v>
      </c>
      <c r="B19" s="123" t="s">
        <v>149</v>
      </c>
      <c r="C19" s="175"/>
      <c r="D19" s="177"/>
      <c r="E19" s="120">
        <v>-21433.040000000001</v>
      </c>
      <c r="F19" s="177"/>
      <c r="G19" s="118"/>
      <c r="H19" s="122">
        <f t="shared" si="0"/>
        <v>2443366.7599999998</v>
      </c>
    </row>
    <row r="20" spans="1:8" x14ac:dyDescent="0.2">
      <c r="A20" s="121">
        <f>+'FERC Interest Rates'!A118</f>
        <v>44592</v>
      </c>
      <c r="B20" s="123" t="s">
        <v>149</v>
      </c>
      <c r="C20" s="175"/>
      <c r="D20" s="177"/>
      <c r="E20" s="120">
        <v>-21433.040000000001</v>
      </c>
      <c r="F20" s="177"/>
      <c r="G20" s="118"/>
      <c r="H20" s="122">
        <f t="shared" si="0"/>
        <v>2421933.7199999997</v>
      </c>
    </row>
    <row r="21" spans="1:8" x14ac:dyDescent="0.2">
      <c r="A21" s="121">
        <f>+'FERC Interest Rates'!A119</f>
        <v>44620</v>
      </c>
      <c r="B21" s="123" t="s">
        <v>149</v>
      </c>
      <c r="C21" s="175"/>
      <c r="D21" s="177"/>
      <c r="E21" s="120">
        <v>-21433.040000000001</v>
      </c>
      <c r="F21" s="177"/>
      <c r="G21" s="118"/>
      <c r="H21" s="122">
        <f t="shared" si="0"/>
        <v>2400500.6799999997</v>
      </c>
    </row>
    <row r="22" spans="1:8" x14ac:dyDescent="0.2">
      <c r="A22" s="121">
        <f>+'FERC Interest Rates'!A120</f>
        <v>44651</v>
      </c>
      <c r="B22" s="123" t="s">
        <v>149</v>
      </c>
      <c r="C22" s="175"/>
      <c r="D22" s="177"/>
      <c r="E22" s="120">
        <v>-21433.040000000001</v>
      </c>
      <c r="F22" s="177"/>
      <c r="G22" s="118"/>
      <c r="H22" s="122">
        <f t="shared" si="0"/>
        <v>2379067.6399999997</v>
      </c>
    </row>
    <row r="23" spans="1:8" x14ac:dyDescent="0.2">
      <c r="A23" s="121">
        <f>+'FERC Interest Rates'!A121</f>
        <v>44681</v>
      </c>
      <c r="B23" s="123" t="s">
        <v>149</v>
      </c>
      <c r="C23" s="175"/>
      <c r="D23" s="177"/>
      <c r="E23" s="120">
        <v>-21433.040000000001</v>
      </c>
      <c r="F23" s="177"/>
      <c r="G23" s="118"/>
      <c r="H23" s="122">
        <f t="shared" si="0"/>
        <v>2357634.5999999996</v>
      </c>
    </row>
    <row r="24" spans="1:8" x14ac:dyDescent="0.2">
      <c r="A24" s="121">
        <f>+'FERC Interest Rates'!A122</f>
        <v>44712</v>
      </c>
      <c r="B24" s="123" t="s">
        <v>149</v>
      </c>
      <c r="C24" s="175"/>
      <c r="D24" s="177"/>
      <c r="E24" s="120">
        <v>-21433.040000000001</v>
      </c>
      <c r="F24" s="177"/>
      <c r="G24" s="118"/>
      <c r="H24" s="122">
        <f t="shared" si="0"/>
        <v>2336201.5599999996</v>
      </c>
    </row>
    <row r="25" spans="1:8" x14ac:dyDescent="0.2">
      <c r="A25" s="121">
        <f>+'FERC Interest Rates'!A123</f>
        <v>44742</v>
      </c>
      <c r="B25" s="123" t="s">
        <v>149</v>
      </c>
      <c r="C25" s="175"/>
      <c r="D25" s="177"/>
      <c r="E25" s="120">
        <v>-21433.040000000001</v>
      </c>
      <c r="F25" s="177"/>
      <c r="G25" s="118"/>
      <c r="H25" s="122">
        <f t="shared" si="0"/>
        <v>2314768.5199999996</v>
      </c>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rintOptions horizontalCentered="1"/>
  <pageMargins left="0.5" right="0.25" top="0.5" bottom="0.25" header="0.3" footer="0.3"/>
  <pageSetup scale="89" fitToHeight="0" orientation="portrait" r:id="rId1"/>
  <headerFooter>
    <oddFooter>&amp;L&amp;"-,Bold"&amp;10Cascade Natural Gas Corporation&amp;C&amp;"-,Bold"&amp;10&amp;P of &amp;N&amp;R&amp;"-,Bold"&amp;10Washington Deferral Accounts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29"/>
  <sheetViews>
    <sheetView showGridLines="0" view="pageBreakPreview" zoomScale="75" zoomScaleNormal="60" zoomScaleSheetLayoutView="75" workbookViewId="0">
      <selection activeCell="H129" sqref="H129"/>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2" customFormat="1" ht="15.75" x14ac:dyDescent="0.25">
      <c r="A1" s="505" t="s">
        <v>52</v>
      </c>
      <c r="B1" s="506"/>
      <c r="C1" s="506"/>
      <c r="D1" s="507"/>
    </row>
    <row r="2" spans="1:5" s="12" customFormat="1" ht="15.75" x14ac:dyDescent="0.25">
      <c r="A2" s="508" t="s">
        <v>53</v>
      </c>
      <c r="B2" s="509"/>
      <c r="C2" s="509"/>
      <c r="D2" s="510"/>
    </row>
    <row r="3" spans="1:5" s="12" customFormat="1" ht="15.75" x14ac:dyDescent="0.25">
      <c r="A3" s="508" t="s">
        <v>54</v>
      </c>
      <c r="B3" s="509"/>
      <c r="C3" s="509"/>
      <c r="D3" s="510"/>
    </row>
    <row r="4" spans="1:5" x14ac:dyDescent="0.2">
      <c r="A4" s="185"/>
      <c r="B4" s="511"/>
      <c r="C4" s="511"/>
      <c r="D4" s="512"/>
    </row>
    <row r="5" spans="1:5" ht="15.75" customHeight="1" x14ac:dyDescent="0.2">
      <c r="A5" s="185" t="s">
        <v>55</v>
      </c>
      <c r="B5" s="511"/>
      <c r="C5" s="511"/>
      <c r="D5" s="512"/>
    </row>
    <row r="6" spans="1:5" ht="15.75" customHeight="1" x14ac:dyDescent="0.2">
      <c r="A6" s="185" t="s">
        <v>58</v>
      </c>
      <c r="B6" s="511"/>
      <c r="C6" s="511"/>
      <c r="D6" s="512"/>
    </row>
    <row r="7" spans="1:5" ht="15.75" customHeight="1" x14ac:dyDescent="0.2">
      <c r="A7" s="513" t="s">
        <v>79</v>
      </c>
      <c r="B7" s="514"/>
      <c r="C7" s="514"/>
      <c r="D7" s="515"/>
    </row>
    <row r="8" spans="1:5" x14ac:dyDescent="0.2">
      <c r="A8" s="185"/>
      <c r="B8" s="511"/>
      <c r="C8" s="511"/>
      <c r="D8" s="512"/>
    </row>
    <row r="9" spans="1:5" x14ac:dyDescent="0.2">
      <c r="A9" s="516" t="s">
        <v>39</v>
      </c>
      <c r="B9" s="5" t="s">
        <v>56</v>
      </c>
      <c r="C9" s="5" t="s">
        <v>57</v>
      </c>
      <c r="D9" s="517"/>
      <c r="E9" s="10"/>
    </row>
    <row r="10" spans="1:5" hidden="1" x14ac:dyDescent="0.2">
      <c r="A10" s="51">
        <v>41305</v>
      </c>
      <c r="B10" s="13">
        <v>3.2500000000000001E-2</v>
      </c>
      <c r="C10" s="16">
        <v>31</v>
      </c>
      <c r="D10" s="590" t="s">
        <v>70</v>
      </c>
    </row>
    <row r="11" spans="1:5" hidden="1" x14ac:dyDescent="0.2">
      <c r="A11" s="52">
        <v>41333</v>
      </c>
      <c r="B11" s="148">
        <f>B10</f>
        <v>3.2500000000000001E-2</v>
      </c>
      <c r="C11" s="154">
        <v>28</v>
      </c>
      <c r="D11" s="591"/>
    </row>
    <row r="12" spans="1:5" hidden="1" x14ac:dyDescent="0.2">
      <c r="A12" s="52">
        <v>41364</v>
      </c>
      <c r="B12" s="148">
        <f>B11</f>
        <v>3.2500000000000001E-2</v>
      </c>
      <c r="C12" s="154">
        <v>31</v>
      </c>
      <c r="D12" s="591"/>
    </row>
    <row r="13" spans="1:5" hidden="1" x14ac:dyDescent="0.2">
      <c r="A13" s="52">
        <v>41394</v>
      </c>
      <c r="B13" s="148">
        <f t="shared" ref="B13:B33" si="0">B12</f>
        <v>3.2500000000000001E-2</v>
      </c>
      <c r="C13" s="154">
        <v>30</v>
      </c>
      <c r="D13" s="591"/>
    </row>
    <row r="14" spans="1:5" hidden="1" x14ac:dyDescent="0.2">
      <c r="A14" s="52">
        <v>41425</v>
      </c>
      <c r="B14" s="148">
        <f t="shared" si="0"/>
        <v>3.2500000000000001E-2</v>
      </c>
      <c r="C14" s="154">
        <v>31</v>
      </c>
      <c r="D14" s="591"/>
    </row>
    <row r="15" spans="1:5" hidden="1" x14ac:dyDescent="0.2">
      <c r="A15" s="52">
        <v>41455</v>
      </c>
      <c r="B15" s="148">
        <f t="shared" si="0"/>
        <v>3.2500000000000001E-2</v>
      </c>
      <c r="C15" s="154">
        <v>30</v>
      </c>
      <c r="D15" s="591"/>
    </row>
    <row r="16" spans="1:5" hidden="1" x14ac:dyDescent="0.2">
      <c r="A16" s="52">
        <v>41486</v>
      </c>
      <c r="B16" s="148">
        <f t="shared" si="0"/>
        <v>3.2500000000000001E-2</v>
      </c>
      <c r="C16" s="154">
        <v>31</v>
      </c>
      <c r="D16" s="591"/>
    </row>
    <row r="17" spans="1:4" hidden="1" x14ac:dyDescent="0.2">
      <c r="A17" s="52">
        <v>41517</v>
      </c>
      <c r="B17" s="148">
        <f t="shared" si="0"/>
        <v>3.2500000000000001E-2</v>
      </c>
      <c r="C17" s="154">
        <v>31</v>
      </c>
      <c r="D17" s="591"/>
    </row>
    <row r="18" spans="1:4" hidden="1" x14ac:dyDescent="0.2">
      <c r="A18" s="52">
        <v>41547</v>
      </c>
      <c r="B18" s="148">
        <f t="shared" si="0"/>
        <v>3.2500000000000001E-2</v>
      </c>
      <c r="C18" s="154">
        <v>30</v>
      </c>
      <c r="D18" s="591"/>
    </row>
    <row r="19" spans="1:4" hidden="1" x14ac:dyDescent="0.2">
      <c r="A19" s="52">
        <v>41578</v>
      </c>
      <c r="B19" s="148">
        <f t="shared" si="0"/>
        <v>3.2500000000000001E-2</v>
      </c>
      <c r="C19" s="154">
        <v>31</v>
      </c>
      <c r="D19" s="591"/>
    </row>
    <row r="20" spans="1:4" hidden="1" x14ac:dyDescent="0.2">
      <c r="A20" s="52">
        <v>41608</v>
      </c>
      <c r="B20" s="148">
        <f t="shared" si="0"/>
        <v>3.2500000000000001E-2</v>
      </c>
      <c r="C20" s="154">
        <v>30</v>
      </c>
      <c r="D20" s="591"/>
    </row>
    <row r="21" spans="1:4" hidden="1" x14ac:dyDescent="0.2">
      <c r="A21" s="53">
        <v>41639</v>
      </c>
      <c r="B21" s="14">
        <f t="shared" si="0"/>
        <v>3.2500000000000001E-2</v>
      </c>
      <c r="C21" s="15">
        <v>31</v>
      </c>
      <c r="D21" s="592"/>
    </row>
    <row r="22" spans="1:4" ht="12.75" hidden="1" customHeight="1" x14ac:dyDescent="0.2">
      <c r="A22" s="51">
        <v>41670</v>
      </c>
      <c r="B22" s="148">
        <f t="shared" si="0"/>
        <v>3.2500000000000001E-2</v>
      </c>
      <c r="C22" s="16">
        <v>31</v>
      </c>
      <c r="D22" s="590" t="s">
        <v>75</v>
      </c>
    </row>
    <row r="23" spans="1:4" hidden="1" x14ac:dyDescent="0.2">
      <c r="A23" s="52">
        <v>41698</v>
      </c>
      <c r="B23" s="148">
        <f t="shared" si="0"/>
        <v>3.2500000000000001E-2</v>
      </c>
      <c r="C23" s="154">
        <v>28</v>
      </c>
      <c r="D23" s="591"/>
    </row>
    <row r="24" spans="1:4" hidden="1" x14ac:dyDescent="0.2">
      <c r="A24" s="52">
        <v>41729</v>
      </c>
      <c r="B24" s="148">
        <f t="shared" si="0"/>
        <v>3.2500000000000001E-2</v>
      </c>
      <c r="C24" s="154">
        <v>31</v>
      </c>
      <c r="D24" s="591"/>
    </row>
    <row r="25" spans="1:4" hidden="1" x14ac:dyDescent="0.2">
      <c r="A25" s="52">
        <v>41759</v>
      </c>
      <c r="B25" s="148">
        <f t="shared" si="0"/>
        <v>3.2500000000000001E-2</v>
      </c>
      <c r="C25" s="154">
        <v>30</v>
      </c>
      <c r="D25" s="591"/>
    </row>
    <row r="26" spans="1:4" hidden="1" x14ac:dyDescent="0.2">
      <c r="A26" s="52">
        <v>41790</v>
      </c>
      <c r="B26" s="148">
        <f t="shared" si="0"/>
        <v>3.2500000000000001E-2</v>
      </c>
      <c r="C26" s="154">
        <v>31</v>
      </c>
      <c r="D26" s="591"/>
    </row>
    <row r="27" spans="1:4" hidden="1" x14ac:dyDescent="0.2">
      <c r="A27" s="52">
        <v>41820</v>
      </c>
      <c r="B27" s="148">
        <f t="shared" si="0"/>
        <v>3.2500000000000001E-2</v>
      </c>
      <c r="C27" s="154">
        <v>30</v>
      </c>
      <c r="D27" s="591"/>
    </row>
    <row r="28" spans="1:4" hidden="1" x14ac:dyDescent="0.2">
      <c r="A28" s="52">
        <v>41851</v>
      </c>
      <c r="B28" s="148">
        <f t="shared" si="0"/>
        <v>3.2500000000000001E-2</v>
      </c>
      <c r="C28" s="154">
        <v>31</v>
      </c>
      <c r="D28" s="591"/>
    </row>
    <row r="29" spans="1:4" hidden="1" x14ac:dyDescent="0.2">
      <c r="A29" s="52">
        <v>41882</v>
      </c>
      <c r="B29" s="148">
        <f t="shared" si="0"/>
        <v>3.2500000000000001E-2</v>
      </c>
      <c r="C29" s="154">
        <v>31</v>
      </c>
      <c r="D29" s="591"/>
    </row>
    <row r="30" spans="1:4" hidden="1" x14ac:dyDescent="0.2">
      <c r="A30" s="52">
        <v>41912</v>
      </c>
      <c r="B30" s="148">
        <f t="shared" si="0"/>
        <v>3.2500000000000001E-2</v>
      </c>
      <c r="C30" s="154">
        <v>30</v>
      </c>
      <c r="D30" s="591"/>
    </row>
    <row r="31" spans="1:4" hidden="1" x14ac:dyDescent="0.2">
      <c r="A31" s="52">
        <v>41943</v>
      </c>
      <c r="B31" s="148">
        <f t="shared" si="0"/>
        <v>3.2500000000000001E-2</v>
      </c>
      <c r="C31" s="154">
        <v>31</v>
      </c>
      <c r="D31" s="591"/>
    </row>
    <row r="32" spans="1:4" hidden="1" x14ac:dyDescent="0.2">
      <c r="A32" s="52">
        <v>41973</v>
      </c>
      <c r="B32" s="148">
        <f t="shared" si="0"/>
        <v>3.2500000000000001E-2</v>
      </c>
      <c r="C32" s="154">
        <v>30</v>
      </c>
      <c r="D32" s="591"/>
    </row>
    <row r="33" spans="1:4" hidden="1" x14ac:dyDescent="0.2">
      <c r="A33" s="53">
        <v>42004</v>
      </c>
      <c r="B33" s="14">
        <f t="shared" si="0"/>
        <v>3.2500000000000001E-2</v>
      </c>
      <c r="C33" s="15">
        <v>31</v>
      </c>
      <c r="D33" s="592"/>
    </row>
    <row r="34" spans="1:4" ht="12.75" hidden="1" customHeight="1" x14ac:dyDescent="0.2">
      <c r="A34" s="51">
        <v>42035</v>
      </c>
      <c r="B34" s="148">
        <f>B33</f>
        <v>3.2500000000000001E-2</v>
      </c>
      <c r="C34" s="16">
        <v>31</v>
      </c>
      <c r="D34" s="590" t="s">
        <v>82</v>
      </c>
    </row>
    <row r="35" spans="1:4" hidden="1" x14ac:dyDescent="0.2">
      <c r="A35" s="52">
        <v>42063</v>
      </c>
      <c r="B35" s="148">
        <f t="shared" ref="B35:B93" si="1">B34</f>
        <v>3.2500000000000001E-2</v>
      </c>
      <c r="C35" s="154">
        <v>28</v>
      </c>
      <c r="D35" s="591"/>
    </row>
    <row r="36" spans="1:4" hidden="1" x14ac:dyDescent="0.2">
      <c r="A36" s="52">
        <v>42094</v>
      </c>
      <c r="B36" s="148">
        <f t="shared" si="1"/>
        <v>3.2500000000000001E-2</v>
      </c>
      <c r="C36" s="154">
        <v>31</v>
      </c>
      <c r="D36" s="591"/>
    </row>
    <row r="37" spans="1:4" hidden="1" x14ac:dyDescent="0.2">
      <c r="A37" s="52">
        <v>42124</v>
      </c>
      <c r="B37" s="148">
        <f t="shared" si="1"/>
        <v>3.2500000000000001E-2</v>
      </c>
      <c r="C37" s="154">
        <v>30</v>
      </c>
      <c r="D37" s="591"/>
    </row>
    <row r="38" spans="1:4" hidden="1" x14ac:dyDescent="0.2">
      <c r="A38" s="52">
        <v>42155</v>
      </c>
      <c r="B38" s="148">
        <f t="shared" si="1"/>
        <v>3.2500000000000001E-2</v>
      </c>
      <c r="C38" s="154">
        <v>31</v>
      </c>
      <c r="D38" s="591"/>
    </row>
    <row r="39" spans="1:4" hidden="1" x14ac:dyDescent="0.2">
      <c r="A39" s="52">
        <v>42185</v>
      </c>
      <c r="B39" s="148">
        <f t="shared" si="1"/>
        <v>3.2500000000000001E-2</v>
      </c>
      <c r="C39" s="154">
        <v>30</v>
      </c>
      <c r="D39" s="591"/>
    </row>
    <row r="40" spans="1:4" hidden="1" x14ac:dyDescent="0.2">
      <c r="A40" s="52">
        <v>42216</v>
      </c>
      <c r="B40" s="148">
        <f t="shared" si="1"/>
        <v>3.2500000000000001E-2</v>
      </c>
      <c r="C40" s="154">
        <v>31</v>
      </c>
      <c r="D40" s="591"/>
    </row>
    <row r="41" spans="1:4" hidden="1" x14ac:dyDescent="0.2">
      <c r="A41" s="52">
        <v>42247</v>
      </c>
      <c r="B41" s="148">
        <f t="shared" si="1"/>
        <v>3.2500000000000001E-2</v>
      </c>
      <c r="C41" s="154">
        <v>31</v>
      </c>
      <c r="D41" s="591"/>
    </row>
    <row r="42" spans="1:4" hidden="1" x14ac:dyDescent="0.2">
      <c r="A42" s="52">
        <v>42277</v>
      </c>
      <c r="B42" s="148">
        <f t="shared" si="1"/>
        <v>3.2500000000000001E-2</v>
      </c>
      <c r="C42" s="154">
        <v>30</v>
      </c>
      <c r="D42" s="591"/>
    </row>
    <row r="43" spans="1:4" hidden="1" x14ac:dyDescent="0.2">
      <c r="A43" s="52">
        <v>42308</v>
      </c>
      <c r="B43" s="148">
        <f t="shared" si="1"/>
        <v>3.2500000000000001E-2</v>
      </c>
      <c r="C43" s="154">
        <v>31</v>
      </c>
      <c r="D43" s="591"/>
    </row>
    <row r="44" spans="1:4" hidden="1" x14ac:dyDescent="0.2">
      <c r="A44" s="52">
        <v>42338</v>
      </c>
      <c r="B44" s="148">
        <f t="shared" si="1"/>
        <v>3.2500000000000001E-2</v>
      </c>
      <c r="C44" s="154">
        <v>30</v>
      </c>
      <c r="D44" s="591"/>
    </row>
    <row r="45" spans="1:4" hidden="1" x14ac:dyDescent="0.2">
      <c r="A45" s="53">
        <v>42369</v>
      </c>
      <c r="B45" s="14">
        <f t="shared" si="1"/>
        <v>3.2500000000000001E-2</v>
      </c>
      <c r="C45" s="15">
        <v>31</v>
      </c>
      <c r="D45" s="592"/>
    </row>
    <row r="46" spans="1:4" ht="12.75" hidden="1" customHeight="1" x14ac:dyDescent="0.2">
      <c r="A46" s="52">
        <v>42400</v>
      </c>
      <c r="B46" s="148">
        <f t="shared" si="1"/>
        <v>3.2500000000000001E-2</v>
      </c>
      <c r="C46" s="16">
        <v>31</v>
      </c>
      <c r="D46" s="590" t="s">
        <v>85</v>
      </c>
    </row>
    <row r="47" spans="1:4" hidden="1" x14ac:dyDescent="0.2">
      <c r="A47" s="52">
        <v>42429</v>
      </c>
      <c r="B47" s="148">
        <f t="shared" si="1"/>
        <v>3.2500000000000001E-2</v>
      </c>
      <c r="C47" s="154">
        <v>29</v>
      </c>
      <c r="D47" s="591"/>
    </row>
    <row r="48" spans="1:4" hidden="1" x14ac:dyDescent="0.2">
      <c r="A48" s="52">
        <v>42460</v>
      </c>
      <c r="B48" s="148">
        <f t="shared" si="1"/>
        <v>3.2500000000000001E-2</v>
      </c>
      <c r="C48" s="154">
        <v>31</v>
      </c>
      <c r="D48" s="591"/>
    </row>
    <row r="49" spans="1:4" hidden="1" x14ac:dyDescent="0.2">
      <c r="A49" s="52">
        <v>42490</v>
      </c>
      <c r="B49" s="148">
        <v>3.4599999999999999E-2</v>
      </c>
      <c r="C49" s="154">
        <v>30</v>
      </c>
      <c r="D49" s="591"/>
    </row>
    <row r="50" spans="1:4" hidden="1" x14ac:dyDescent="0.2">
      <c r="A50" s="52">
        <v>42521</v>
      </c>
      <c r="B50" s="148">
        <f t="shared" si="1"/>
        <v>3.4599999999999999E-2</v>
      </c>
      <c r="C50" s="154">
        <v>31</v>
      </c>
      <c r="D50" s="591"/>
    </row>
    <row r="51" spans="1:4" hidden="1" x14ac:dyDescent="0.2">
      <c r="A51" s="52">
        <v>42551</v>
      </c>
      <c r="B51" s="148">
        <f t="shared" si="1"/>
        <v>3.4599999999999999E-2</v>
      </c>
      <c r="C51" s="154">
        <v>30</v>
      </c>
      <c r="D51" s="591"/>
    </row>
    <row r="52" spans="1:4" hidden="1" x14ac:dyDescent="0.2">
      <c r="A52" s="52">
        <v>42582</v>
      </c>
      <c r="B52" s="148">
        <v>3.5000000000000003E-2</v>
      </c>
      <c r="C52" s="154">
        <v>31</v>
      </c>
      <c r="D52" s="591"/>
    </row>
    <row r="53" spans="1:4" hidden="1" x14ac:dyDescent="0.2">
      <c r="A53" s="52">
        <v>42613</v>
      </c>
      <c r="B53" s="148">
        <f t="shared" si="1"/>
        <v>3.5000000000000003E-2</v>
      </c>
      <c r="C53" s="154">
        <v>31</v>
      </c>
      <c r="D53" s="591"/>
    </row>
    <row r="54" spans="1:4" hidden="1" x14ac:dyDescent="0.2">
      <c r="A54" s="52">
        <v>42643</v>
      </c>
      <c r="B54" s="148">
        <f t="shared" si="1"/>
        <v>3.5000000000000003E-2</v>
      </c>
      <c r="C54" s="154">
        <v>30</v>
      </c>
      <c r="D54" s="591"/>
    </row>
    <row r="55" spans="1:4" hidden="1" x14ac:dyDescent="0.2">
      <c r="A55" s="52">
        <v>42674</v>
      </c>
      <c r="B55" s="148">
        <f t="shared" si="1"/>
        <v>3.5000000000000003E-2</v>
      </c>
      <c r="C55" s="154">
        <v>31</v>
      </c>
      <c r="D55" s="591"/>
    </row>
    <row r="56" spans="1:4" hidden="1" x14ac:dyDescent="0.2">
      <c r="A56" s="52">
        <v>42704</v>
      </c>
      <c r="B56" s="148">
        <f t="shared" si="1"/>
        <v>3.5000000000000003E-2</v>
      </c>
      <c r="C56" s="154">
        <v>30</v>
      </c>
      <c r="D56" s="591"/>
    </row>
    <row r="57" spans="1:4" hidden="1" x14ac:dyDescent="0.2">
      <c r="A57" s="53">
        <v>42735</v>
      </c>
      <c r="B57" s="14">
        <f t="shared" si="1"/>
        <v>3.5000000000000003E-2</v>
      </c>
      <c r="C57" s="15">
        <v>31</v>
      </c>
      <c r="D57" s="592"/>
    </row>
    <row r="58" spans="1:4" ht="12.75" hidden="1" customHeight="1" x14ac:dyDescent="0.2">
      <c r="A58" s="52">
        <v>42766</v>
      </c>
      <c r="B58" s="148">
        <f t="shared" si="1"/>
        <v>3.5000000000000003E-2</v>
      </c>
      <c r="C58" s="16">
        <v>31</v>
      </c>
      <c r="D58" s="590" t="s">
        <v>90</v>
      </c>
    </row>
    <row r="59" spans="1:4" hidden="1" x14ac:dyDescent="0.2">
      <c r="A59" s="52">
        <v>42794</v>
      </c>
      <c r="B59" s="148">
        <f t="shared" si="1"/>
        <v>3.5000000000000003E-2</v>
      </c>
      <c r="C59" s="154">
        <v>28</v>
      </c>
      <c r="D59" s="591"/>
    </row>
    <row r="60" spans="1:4" hidden="1" x14ac:dyDescent="0.2">
      <c r="A60" s="52">
        <v>42825</v>
      </c>
      <c r="B60" s="148">
        <f t="shared" si="1"/>
        <v>3.5000000000000003E-2</v>
      </c>
      <c r="C60" s="154">
        <v>31</v>
      </c>
      <c r="D60" s="591"/>
    </row>
    <row r="61" spans="1:4" hidden="1" x14ac:dyDescent="0.2">
      <c r="A61" s="52">
        <v>42855</v>
      </c>
      <c r="B61" s="148">
        <v>3.7100000000000001E-2</v>
      </c>
      <c r="C61" s="154">
        <v>30</v>
      </c>
      <c r="D61" s="591"/>
    </row>
    <row r="62" spans="1:4" hidden="1" x14ac:dyDescent="0.2">
      <c r="A62" s="52">
        <v>42886</v>
      </c>
      <c r="B62" s="148">
        <f t="shared" si="1"/>
        <v>3.7100000000000001E-2</v>
      </c>
      <c r="C62" s="154">
        <v>31</v>
      </c>
      <c r="D62" s="591"/>
    </row>
    <row r="63" spans="1:4" hidden="1" x14ac:dyDescent="0.2">
      <c r="A63" s="52">
        <v>42916</v>
      </c>
      <c r="B63" s="148">
        <f t="shared" si="1"/>
        <v>3.7100000000000001E-2</v>
      </c>
      <c r="C63" s="154">
        <v>30</v>
      </c>
      <c r="D63" s="591"/>
    </row>
    <row r="64" spans="1:4" hidden="1" x14ac:dyDescent="0.2">
      <c r="A64" s="52">
        <v>42947</v>
      </c>
      <c r="B64" s="148">
        <v>3.9600000000000003E-2</v>
      </c>
      <c r="C64" s="154">
        <v>31</v>
      </c>
      <c r="D64" s="591"/>
    </row>
    <row r="65" spans="1:4" hidden="1" x14ac:dyDescent="0.2">
      <c r="A65" s="52">
        <v>42978</v>
      </c>
      <c r="B65" s="148">
        <f t="shared" si="1"/>
        <v>3.9600000000000003E-2</v>
      </c>
      <c r="C65" s="154">
        <v>31</v>
      </c>
      <c r="D65" s="591"/>
    </row>
    <row r="66" spans="1:4" hidden="1" x14ac:dyDescent="0.2">
      <c r="A66" s="52">
        <v>43008</v>
      </c>
      <c r="B66" s="148">
        <f t="shared" si="1"/>
        <v>3.9600000000000003E-2</v>
      </c>
      <c r="C66" s="154">
        <v>30</v>
      </c>
      <c r="D66" s="591"/>
    </row>
    <row r="67" spans="1:4" hidden="1" x14ac:dyDescent="0.2">
      <c r="A67" s="52">
        <v>43039</v>
      </c>
      <c r="B67" s="148">
        <v>4.2099999999999999E-2</v>
      </c>
      <c r="C67" s="154">
        <v>31</v>
      </c>
      <c r="D67" s="591"/>
    </row>
    <row r="68" spans="1:4" hidden="1" x14ac:dyDescent="0.2">
      <c r="A68" s="52">
        <v>43069</v>
      </c>
      <c r="B68" s="148">
        <f t="shared" si="1"/>
        <v>4.2099999999999999E-2</v>
      </c>
      <c r="C68" s="154">
        <v>30</v>
      </c>
      <c r="D68" s="591"/>
    </row>
    <row r="69" spans="1:4" hidden="1" x14ac:dyDescent="0.2">
      <c r="A69" s="53">
        <v>43100</v>
      </c>
      <c r="B69" s="14">
        <f t="shared" si="1"/>
        <v>4.2099999999999999E-2</v>
      </c>
      <c r="C69" s="15">
        <v>31</v>
      </c>
      <c r="D69" s="592"/>
    </row>
    <row r="70" spans="1:4" ht="12.75" hidden="1" customHeight="1" x14ac:dyDescent="0.2">
      <c r="A70" s="52">
        <v>43131</v>
      </c>
      <c r="B70" s="148">
        <v>4.2500000000000003E-2</v>
      </c>
      <c r="C70" s="16">
        <v>31</v>
      </c>
      <c r="D70" s="590" t="s">
        <v>107</v>
      </c>
    </row>
    <row r="71" spans="1:4" hidden="1" x14ac:dyDescent="0.2">
      <c r="A71" s="52">
        <v>43159</v>
      </c>
      <c r="B71" s="148">
        <f t="shared" si="1"/>
        <v>4.2500000000000003E-2</v>
      </c>
      <c r="C71" s="154">
        <v>28</v>
      </c>
      <c r="D71" s="591"/>
    </row>
    <row r="72" spans="1:4" hidden="1" x14ac:dyDescent="0.2">
      <c r="A72" s="52">
        <v>43190</v>
      </c>
      <c r="B72" s="148">
        <f t="shared" si="1"/>
        <v>4.2500000000000003E-2</v>
      </c>
      <c r="C72" s="154">
        <v>31</v>
      </c>
      <c r="D72" s="591"/>
    </row>
    <row r="73" spans="1:4" hidden="1" x14ac:dyDescent="0.2">
      <c r="A73" s="52">
        <v>43220</v>
      </c>
      <c r="B73" s="148">
        <v>4.4699999999999997E-2</v>
      </c>
      <c r="C73" s="154">
        <v>30</v>
      </c>
      <c r="D73" s="591"/>
    </row>
    <row r="74" spans="1:4" hidden="1" x14ac:dyDescent="0.2">
      <c r="A74" s="52">
        <v>43251</v>
      </c>
      <c r="B74" s="148">
        <f t="shared" si="1"/>
        <v>4.4699999999999997E-2</v>
      </c>
      <c r="C74" s="154">
        <v>31</v>
      </c>
      <c r="D74" s="591"/>
    </row>
    <row r="75" spans="1:4" hidden="1" x14ac:dyDescent="0.2">
      <c r="A75" s="52">
        <v>43281</v>
      </c>
      <c r="B75" s="148">
        <f t="shared" si="1"/>
        <v>4.4699999999999997E-2</v>
      </c>
      <c r="C75" s="154">
        <v>30</v>
      </c>
      <c r="D75" s="591"/>
    </row>
    <row r="76" spans="1:4" hidden="1" x14ac:dyDescent="0.2">
      <c r="A76" s="52">
        <v>43312</v>
      </c>
      <c r="B76" s="148">
        <v>4.6899999999999997E-2</v>
      </c>
      <c r="C76" s="154">
        <v>31</v>
      </c>
      <c r="D76" s="591"/>
    </row>
    <row r="77" spans="1:4" hidden="1" x14ac:dyDescent="0.2">
      <c r="A77" s="52">
        <v>43343</v>
      </c>
      <c r="B77" s="148">
        <f t="shared" si="1"/>
        <v>4.6899999999999997E-2</v>
      </c>
      <c r="C77" s="154">
        <v>31</v>
      </c>
      <c r="D77" s="591"/>
    </row>
    <row r="78" spans="1:4" hidden="1" x14ac:dyDescent="0.2">
      <c r="A78" s="52">
        <v>43373</v>
      </c>
      <c r="B78" s="148">
        <f t="shared" si="1"/>
        <v>4.6899999999999997E-2</v>
      </c>
      <c r="C78" s="154">
        <v>30</v>
      </c>
      <c r="D78" s="591"/>
    </row>
    <row r="79" spans="1:4" hidden="1" x14ac:dyDescent="0.2">
      <c r="A79" s="52">
        <v>43404</v>
      </c>
      <c r="B79" s="148">
        <v>4.9599999999999998E-2</v>
      </c>
      <c r="C79" s="154">
        <v>31</v>
      </c>
      <c r="D79" s="591"/>
    </row>
    <row r="80" spans="1:4" hidden="1" x14ac:dyDescent="0.2">
      <c r="A80" s="52">
        <v>43434</v>
      </c>
      <c r="B80" s="148">
        <f t="shared" si="1"/>
        <v>4.9599999999999998E-2</v>
      </c>
      <c r="C80" s="154">
        <v>30</v>
      </c>
      <c r="D80" s="591"/>
    </row>
    <row r="81" spans="1:4" hidden="1" x14ac:dyDescent="0.2">
      <c r="A81" s="53">
        <v>43465</v>
      </c>
      <c r="B81" s="14">
        <f t="shared" si="1"/>
        <v>4.9599999999999998E-2</v>
      </c>
      <c r="C81" s="15">
        <v>31</v>
      </c>
      <c r="D81" s="592"/>
    </row>
    <row r="82" spans="1:4" hidden="1" x14ac:dyDescent="0.2">
      <c r="A82" s="51">
        <v>43496</v>
      </c>
      <c r="B82" s="13">
        <v>5.1799999999999999E-2</v>
      </c>
      <c r="C82" s="147">
        <v>31</v>
      </c>
      <c r="D82" s="590" t="s">
        <v>132</v>
      </c>
    </row>
    <row r="83" spans="1:4" hidden="1" x14ac:dyDescent="0.2">
      <c r="A83" s="52">
        <v>43524</v>
      </c>
      <c r="B83" s="148">
        <f t="shared" si="1"/>
        <v>5.1799999999999999E-2</v>
      </c>
      <c r="C83" s="149">
        <v>28</v>
      </c>
      <c r="D83" s="591"/>
    </row>
    <row r="84" spans="1:4" hidden="1" x14ac:dyDescent="0.2">
      <c r="A84" s="52">
        <v>43555</v>
      </c>
      <c r="B84" s="148">
        <f t="shared" si="1"/>
        <v>5.1799999999999999E-2</v>
      </c>
      <c r="C84" s="149">
        <v>31</v>
      </c>
      <c r="D84" s="591"/>
    </row>
    <row r="85" spans="1:4" hidden="1" x14ac:dyDescent="0.2">
      <c r="A85" s="52">
        <v>43585</v>
      </c>
      <c r="B85" s="148">
        <v>5.45E-2</v>
      </c>
      <c r="C85" s="149">
        <v>30</v>
      </c>
      <c r="D85" s="591"/>
    </row>
    <row r="86" spans="1:4" hidden="1" x14ac:dyDescent="0.2">
      <c r="A86" s="52">
        <v>43616</v>
      </c>
      <c r="B86" s="148">
        <f t="shared" si="1"/>
        <v>5.45E-2</v>
      </c>
      <c r="C86" s="149">
        <v>31</v>
      </c>
      <c r="D86" s="591"/>
    </row>
    <row r="87" spans="1:4" hidden="1" x14ac:dyDescent="0.2">
      <c r="A87" s="52">
        <v>43646</v>
      </c>
      <c r="B87" s="148">
        <f t="shared" si="1"/>
        <v>5.45E-2</v>
      </c>
      <c r="C87" s="149">
        <v>30</v>
      </c>
      <c r="D87" s="591"/>
    </row>
    <row r="88" spans="1:4" hidden="1" x14ac:dyDescent="0.2">
      <c r="A88" s="52">
        <v>43677</v>
      </c>
      <c r="B88" s="148">
        <v>5.5E-2</v>
      </c>
      <c r="C88" s="149">
        <v>31</v>
      </c>
      <c r="D88" s="591"/>
    </row>
    <row r="89" spans="1:4" hidden="1" x14ac:dyDescent="0.2">
      <c r="A89" s="52">
        <v>43708</v>
      </c>
      <c r="B89" s="148">
        <f t="shared" si="1"/>
        <v>5.5E-2</v>
      </c>
      <c r="C89" s="149">
        <v>31</v>
      </c>
      <c r="D89" s="591"/>
    </row>
    <row r="90" spans="1:4" hidden="1" x14ac:dyDescent="0.2">
      <c r="A90" s="52">
        <v>43738</v>
      </c>
      <c r="B90" s="148">
        <f t="shared" si="1"/>
        <v>5.5E-2</v>
      </c>
      <c r="C90" s="149">
        <v>30</v>
      </c>
      <c r="D90" s="591"/>
    </row>
    <row r="91" spans="1:4" hidden="1" x14ac:dyDescent="0.2">
      <c r="A91" s="52">
        <v>43769</v>
      </c>
      <c r="B91" s="148">
        <v>5.4199999999999998E-2</v>
      </c>
      <c r="C91" s="149">
        <v>31</v>
      </c>
      <c r="D91" s="591"/>
    </row>
    <row r="92" spans="1:4" hidden="1" x14ac:dyDescent="0.2">
      <c r="A92" s="52">
        <v>43799</v>
      </c>
      <c r="B92" s="148">
        <f t="shared" si="1"/>
        <v>5.4199999999999998E-2</v>
      </c>
      <c r="C92" s="149">
        <v>30</v>
      </c>
      <c r="D92" s="591"/>
    </row>
    <row r="93" spans="1:4" hidden="1" x14ac:dyDescent="0.2">
      <c r="A93" s="53">
        <v>43830</v>
      </c>
      <c r="B93" s="14">
        <f t="shared" si="1"/>
        <v>5.4199999999999998E-2</v>
      </c>
      <c r="C93" s="150">
        <v>31</v>
      </c>
      <c r="D93" s="592"/>
    </row>
    <row r="94" spans="1:4" x14ac:dyDescent="0.2">
      <c r="A94" s="52">
        <v>43861</v>
      </c>
      <c r="B94" s="148">
        <v>4.9599999999999998E-2</v>
      </c>
      <c r="C94" s="149">
        <v>31</v>
      </c>
      <c r="D94" s="590" t="s">
        <v>150</v>
      </c>
    </row>
    <row r="95" spans="1:4" x14ac:dyDescent="0.2">
      <c r="A95" s="52">
        <v>43890</v>
      </c>
      <c r="B95" s="148">
        <f>B94</f>
        <v>4.9599999999999998E-2</v>
      </c>
      <c r="C95" s="157">
        <v>29</v>
      </c>
      <c r="D95" s="591"/>
    </row>
    <row r="96" spans="1:4" x14ac:dyDescent="0.2">
      <c r="A96" s="52">
        <v>43921</v>
      </c>
      <c r="B96" s="148">
        <f>B95</f>
        <v>4.9599999999999998E-2</v>
      </c>
      <c r="C96" s="149">
        <v>31</v>
      </c>
      <c r="D96" s="591"/>
    </row>
    <row r="97" spans="1:4" x14ac:dyDescent="0.2">
      <c r="A97" s="52">
        <v>43951</v>
      </c>
      <c r="B97" s="148">
        <v>4.7500000000000001E-2</v>
      </c>
      <c r="C97" s="149">
        <v>30</v>
      </c>
      <c r="D97" s="591"/>
    </row>
    <row r="98" spans="1:4" x14ac:dyDescent="0.2">
      <c r="A98" s="52">
        <v>43982</v>
      </c>
      <c r="B98" s="148">
        <f t="shared" ref="B98:B129" si="2">B97</f>
        <v>4.7500000000000001E-2</v>
      </c>
      <c r="C98" s="149">
        <v>31</v>
      </c>
      <c r="D98" s="591"/>
    </row>
    <row r="99" spans="1:4" x14ac:dyDescent="0.2">
      <c r="A99" s="52">
        <v>44012</v>
      </c>
      <c r="B99" s="148">
        <f t="shared" si="2"/>
        <v>4.7500000000000001E-2</v>
      </c>
      <c r="C99" s="149">
        <v>30</v>
      </c>
      <c r="D99" s="591"/>
    </row>
    <row r="100" spans="1:4" x14ac:dyDescent="0.2">
      <c r="A100" s="52">
        <v>44043</v>
      </c>
      <c r="B100" s="148">
        <v>3.4299999999999997E-2</v>
      </c>
      <c r="C100" s="149">
        <v>31</v>
      </c>
      <c r="D100" s="591"/>
    </row>
    <row r="101" spans="1:4" x14ac:dyDescent="0.2">
      <c r="A101" s="52">
        <v>44074</v>
      </c>
      <c r="B101" s="148">
        <f t="shared" si="2"/>
        <v>3.4299999999999997E-2</v>
      </c>
      <c r="C101" s="149">
        <v>31</v>
      </c>
      <c r="D101" s="591"/>
    </row>
    <row r="102" spans="1:4" x14ac:dyDescent="0.2">
      <c r="A102" s="52">
        <v>44104</v>
      </c>
      <c r="B102" s="148">
        <f t="shared" si="2"/>
        <v>3.4299999999999997E-2</v>
      </c>
      <c r="C102" s="149">
        <v>30</v>
      </c>
      <c r="D102" s="591"/>
    </row>
    <row r="103" spans="1:4" x14ac:dyDescent="0.2">
      <c r="A103" s="52">
        <v>44135</v>
      </c>
      <c r="B103" s="148">
        <v>3.2500000000000001E-2</v>
      </c>
      <c r="C103" s="149">
        <v>31</v>
      </c>
      <c r="D103" s="591"/>
    </row>
    <row r="104" spans="1:4" x14ac:dyDescent="0.2">
      <c r="A104" s="52">
        <v>44165</v>
      </c>
      <c r="B104" s="148">
        <f t="shared" si="2"/>
        <v>3.2500000000000001E-2</v>
      </c>
      <c r="C104" s="149">
        <v>30</v>
      </c>
      <c r="D104" s="591"/>
    </row>
    <row r="105" spans="1:4" x14ac:dyDescent="0.2">
      <c r="A105" s="53">
        <v>44196</v>
      </c>
      <c r="B105" s="14">
        <f t="shared" si="2"/>
        <v>3.2500000000000001E-2</v>
      </c>
      <c r="C105" s="150">
        <v>31</v>
      </c>
      <c r="D105" s="592"/>
    </row>
    <row r="106" spans="1:4" x14ac:dyDescent="0.2">
      <c r="A106" s="52">
        <v>44227</v>
      </c>
      <c r="B106" s="148">
        <f t="shared" si="2"/>
        <v>3.2500000000000001E-2</v>
      </c>
      <c r="C106" s="149">
        <v>31</v>
      </c>
      <c r="D106" s="590" t="s">
        <v>159</v>
      </c>
    </row>
    <row r="107" spans="1:4" x14ac:dyDescent="0.2">
      <c r="A107" s="52">
        <v>44255</v>
      </c>
      <c r="B107" s="148">
        <f t="shared" si="2"/>
        <v>3.2500000000000001E-2</v>
      </c>
      <c r="C107" s="161">
        <v>28</v>
      </c>
      <c r="D107" s="591"/>
    </row>
    <row r="108" spans="1:4" x14ac:dyDescent="0.2">
      <c r="A108" s="52">
        <v>44286</v>
      </c>
      <c r="B108" s="148">
        <f t="shared" si="2"/>
        <v>3.2500000000000001E-2</v>
      </c>
      <c r="C108" s="149">
        <v>31</v>
      </c>
      <c r="D108" s="591"/>
    </row>
    <row r="109" spans="1:4" x14ac:dyDescent="0.2">
      <c r="A109" s="52">
        <v>44316</v>
      </c>
      <c r="B109" s="148">
        <f t="shared" si="2"/>
        <v>3.2500000000000001E-2</v>
      </c>
      <c r="C109" s="149">
        <v>30</v>
      </c>
      <c r="D109" s="591"/>
    </row>
    <row r="110" spans="1:4" x14ac:dyDescent="0.2">
      <c r="A110" s="52">
        <v>44347</v>
      </c>
      <c r="B110" s="148">
        <f t="shared" si="2"/>
        <v>3.2500000000000001E-2</v>
      </c>
      <c r="C110" s="149">
        <v>31</v>
      </c>
      <c r="D110" s="591"/>
    </row>
    <row r="111" spans="1:4" x14ac:dyDescent="0.2">
      <c r="A111" s="52">
        <v>44377</v>
      </c>
      <c r="B111" s="148">
        <f t="shared" si="2"/>
        <v>3.2500000000000001E-2</v>
      </c>
      <c r="C111" s="149">
        <v>30</v>
      </c>
      <c r="D111" s="591"/>
    </row>
    <row r="112" spans="1:4" x14ac:dyDescent="0.2">
      <c r="A112" s="52">
        <v>44408</v>
      </c>
      <c r="B112" s="148">
        <f t="shared" si="2"/>
        <v>3.2500000000000001E-2</v>
      </c>
      <c r="C112" s="149">
        <v>31</v>
      </c>
      <c r="D112" s="591"/>
    </row>
    <row r="113" spans="1:4" x14ac:dyDescent="0.2">
      <c r="A113" s="52">
        <v>44439</v>
      </c>
      <c r="B113" s="148">
        <f t="shared" si="2"/>
        <v>3.2500000000000001E-2</v>
      </c>
      <c r="C113" s="149">
        <v>31</v>
      </c>
      <c r="D113" s="591"/>
    </row>
    <row r="114" spans="1:4" x14ac:dyDescent="0.2">
      <c r="A114" s="52">
        <v>44469</v>
      </c>
      <c r="B114" s="148">
        <f t="shared" si="2"/>
        <v>3.2500000000000001E-2</v>
      </c>
      <c r="C114" s="149">
        <v>30</v>
      </c>
      <c r="D114" s="591"/>
    </row>
    <row r="115" spans="1:4" x14ac:dyDescent="0.2">
      <c r="A115" s="52">
        <v>44500</v>
      </c>
      <c r="B115" s="148">
        <f t="shared" si="2"/>
        <v>3.2500000000000001E-2</v>
      </c>
      <c r="C115" s="149">
        <v>31</v>
      </c>
      <c r="D115" s="591"/>
    </row>
    <row r="116" spans="1:4" x14ac:dyDescent="0.2">
      <c r="A116" s="52">
        <v>44530</v>
      </c>
      <c r="B116" s="148">
        <f t="shared" si="2"/>
        <v>3.2500000000000001E-2</v>
      </c>
      <c r="C116" s="149">
        <v>30</v>
      </c>
      <c r="D116" s="591"/>
    </row>
    <row r="117" spans="1:4" x14ac:dyDescent="0.2">
      <c r="A117" s="53">
        <v>44561</v>
      </c>
      <c r="B117" s="14">
        <f t="shared" si="2"/>
        <v>3.2500000000000001E-2</v>
      </c>
      <c r="C117" s="150">
        <v>31</v>
      </c>
      <c r="D117" s="592"/>
    </row>
    <row r="118" spans="1:4" x14ac:dyDescent="0.2">
      <c r="A118" s="52">
        <v>44592</v>
      </c>
      <c r="B118" s="148">
        <f t="shared" si="2"/>
        <v>3.2500000000000001E-2</v>
      </c>
      <c r="C118" s="149">
        <v>31</v>
      </c>
      <c r="D118" s="590" t="s">
        <v>177</v>
      </c>
    </row>
    <row r="119" spans="1:4" x14ac:dyDescent="0.2">
      <c r="A119" s="52">
        <v>44620</v>
      </c>
      <c r="B119" s="148">
        <f t="shared" si="2"/>
        <v>3.2500000000000001E-2</v>
      </c>
      <c r="C119" s="161">
        <v>28</v>
      </c>
      <c r="D119" s="591"/>
    </row>
    <row r="120" spans="1:4" x14ac:dyDescent="0.2">
      <c r="A120" s="52">
        <v>44651</v>
      </c>
      <c r="B120" s="148">
        <f t="shared" si="2"/>
        <v>3.2500000000000001E-2</v>
      </c>
      <c r="C120" s="149">
        <v>31</v>
      </c>
      <c r="D120" s="591"/>
    </row>
    <row r="121" spans="1:4" x14ac:dyDescent="0.2">
      <c r="A121" s="52">
        <v>44681</v>
      </c>
      <c r="B121" s="148">
        <f t="shared" si="2"/>
        <v>3.2500000000000001E-2</v>
      </c>
      <c r="C121" s="149">
        <v>30</v>
      </c>
      <c r="D121" s="591"/>
    </row>
    <row r="122" spans="1:4" x14ac:dyDescent="0.2">
      <c r="A122" s="52">
        <v>44712</v>
      </c>
      <c r="B122" s="148">
        <f t="shared" si="2"/>
        <v>3.2500000000000001E-2</v>
      </c>
      <c r="C122" s="149">
        <v>31</v>
      </c>
      <c r="D122" s="591"/>
    </row>
    <row r="123" spans="1:4" x14ac:dyDescent="0.2">
      <c r="A123" s="52">
        <v>44742</v>
      </c>
      <c r="B123" s="148">
        <f t="shared" si="2"/>
        <v>3.2500000000000001E-2</v>
      </c>
      <c r="C123" s="149">
        <v>30</v>
      </c>
      <c r="D123" s="591"/>
    </row>
    <row r="124" spans="1:4" x14ac:dyDescent="0.2">
      <c r="A124" s="52">
        <v>44773</v>
      </c>
      <c r="B124" s="148">
        <f t="shared" si="2"/>
        <v>3.2500000000000001E-2</v>
      </c>
      <c r="C124" s="149">
        <v>31</v>
      </c>
      <c r="D124" s="591"/>
    </row>
    <row r="125" spans="1:4" x14ac:dyDescent="0.2">
      <c r="A125" s="52">
        <v>44804</v>
      </c>
      <c r="B125" s="148">
        <f t="shared" si="2"/>
        <v>3.2500000000000001E-2</v>
      </c>
      <c r="C125" s="149">
        <v>31</v>
      </c>
      <c r="D125" s="591"/>
    </row>
    <row r="126" spans="1:4" x14ac:dyDescent="0.2">
      <c r="A126" s="52">
        <v>44834</v>
      </c>
      <c r="B126" s="148">
        <f t="shared" si="2"/>
        <v>3.2500000000000001E-2</v>
      </c>
      <c r="C126" s="149">
        <v>30</v>
      </c>
      <c r="D126" s="591"/>
    </row>
    <row r="127" spans="1:4" x14ac:dyDescent="0.2">
      <c r="A127" s="52">
        <v>44865</v>
      </c>
      <c r="B127" s="148">
        <f t="shared" si="2"/>
        <v>3.2500000000000001E-2</v>
      </c>
      <c r="C127" s="149">
        <v>31</v>
      </c>
      <c r="D127" s="591"/>
    </row>
    <row r="128" spans="1:4" x14ac:dyDescent="0.2">
      <c r="A128" s="52">
        <v>44895</v>
      </c>
      <c r="B128" s="148">
        <f t="shared" si="2"/>
        <v>3.2500000000000001E-2</v>
      </c>
      <c r="C128" s="149">
        <v>30</v>
      </c>
      <c r="D128" s="591"/>
    </row>
    <row r="129" spans="1:4" x14ac:dyDescent="0.2">
      <c r="A129" s="53">
        <v>44926</v>
      </c>
      <c r="B129" s="14">
        <f t="shared" si="2"/>
        <v>3.2500000000000001E-2</v>
      </c>
      <c r="C129" s="150">
        <v>31</v>
      </c>
      <c r="D129" s="592"/>
    </row>
  </sheetData>
  <mergeCells count="10">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3" footer="0.3"/>
  <pageSetup orientation="portrait" r:id="rId2"/>
  <headerFooter>
    <oddFooter>&amp;L&amp;"-,Bold"&amp;10Cascade Natural Gas Corporation&amp;C&amp;"-,Bold"&amp;10&amp;P of &amp;N&amp;R&amp;"-,Bold"&amp;10Washington Deferral Accounts</oddFooter>
  </headerFooter>
  <rowBreaks count="1" manualBreakCount="1">
    <brk id="57" max="16383"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112"/>
  <sheetViews>
    <sheetView showGridLines="0" view="pageBreakPreview" zoomScale="75" zoomScaleNormal="60" zoomScaleSheetLayoutView="75" workbookViewId="0">
      <pane xSplit="1" ySplit="4" topLeftCell="B77" activePane="bottomRight" state="frozen"/>
      <selection activeCell="H129" sqref="H129"/>
      <selection pane="topRight" activeCell="H129" sqref="H129"/>
      <selection pane="bottomLeft" activeCell="H129" sqref="H129"/>
      <selection pane="bottomRight" activeCell="H129" sqref="H129"/>
    </sheetView>
  </sheetViews>
  <sheetFormatPr defaultColWidth="8.88671875" defaultRowHeight="12.75" x14ac:dyDescent="0.2"/>
  <cols>
    <col min="1" max="1" width="8.21875" style="1" bestFit="1" customWidth="1"/>
    <col min="2" max="2" width="11.77734375" style="25" bestFit="1" customWidth="1"/>
    <col min="3" max="3" width="12.21875" style="25" bestFit="1" customWidth="1"/>
    <col min="4" max="4" width="10.77734375" style="25" bestFit="1" customWidth="1"/>
    <col min="5" max="5" width="9.33203125" style="20" customWidth="1"/>
    <col min="6" max="6" width="8" style="111" bestFit="1" customWidth="1"/>
    <col min="7" max="7" width="8.44140625" style="25" customWidth="1"/>
    <col min="8" max="8" width="8.77734375" style="20" bestFit="1" customWidth="1"/>
    <col min="9" max="9" width="10.21875" style="20" customWidth="1"/>
    <col min="10" max="10" width="11.77734375" style="134" customWidth="1"/>
    <col min="11" max="11" width="10.6640625" style="20" customWidth="1"/>
    <col min="12" max="12" width="7.88671875" style="23" customWidth="1"/>
    <col min="13" max="13" width="10" style="27" bestFit="1" customWidth="1"/>
    <col min="14" max="14" width="9.77734375" style="20" bestFit="1" customWidth="1"/>
    <col min="15" max="15" width="9.77734375" style="135" customWidth="1"/>
    <col min="16" max="16" width="6.6640625" style="134" customWidth="1"/>
    <col min="17" max="18" width="9.33203125" style="1" customWidth="1"/>
    <col min="19" max="19" width="11.109375" style="1" customWidth="1"/>
    <col min="20" max="21" width="12.77734375" style="1" customWidth="1"/>
    <col min="22" max="16384" width="8.88671875" style="1"/>
  </cols>
  <sheetData>
    <row r="1" spans="1:18" ht="15.75" x14ac:dyDescent="0.25">
      <c r="A1" s="595" t="s">
        <v>62</v>
      </c>
      <c r="B1" s="596"/>
      <c r="C1" s="596"/>
      <c r="D1" s="596"/>
      <c r="E1" s="596"/>
      <c r="F1" s="596"/>
      <c r="G1" s="596"/>
      <c r="H1" s="596"/>
      <c r="I1" s="596"/>
      <c r="J1" s="596"/>
      <c r="K1" s="596"/>
      <c r="L1" s="596"/>
      <c r="M1" s="596"/>
      <c r="N1" s="596"/>
      <c r="O1" s="596"/>
      <c r="P1" s="596"/>
      <c r="Q1" s="596"/>
      <c r="R1" s="597"/>
    </row>
    <row r="2" spans="1:18" ht="15.75" x14ac:dyDescent="0.25">
      <c r="A2" s="598" t="s">
        <v>81</v>
      </c>
      <c r="B2" s="599"/>
      <c r="C2" s="599"/>
      <c r="D2" s="599"/>
      <c r="E2" s="599"/>
      <c r="F2" s="599"/>
      <c r="G2" s="599"/>
      <c r="H2" s="599"/>
      <c r="I2" s="599"/>
      <c r="J2" s="599"/>
      <c r="K2" s="599"/>
      <c r="L2" s="599"/>
      <c r="M2" s="599"/>
      <c r="N2" s="599"/>
      <c r="O2" s="599"/>
      <c r="P2" s="599"/>
      <c r="Q2" s="599"/>
      <c r="R2" s="600"/>
    </row>
    <row r="3" spans="1:18" s="128" customFormat="1" ht="26.45" customHeight="1" x14ac:dyDescent="0.2">
      <c r="A3" s="602" t="s">
        <v>8</v>
      </c>
      <c r="B3" s="604" t="s">
        <v>5</v>
      </c>
      <c r="C3" s="605"/>
      <c r="D3" s="605"/>
      <c r="E3" s="605"/>
      <c r="F3" s="606" t="s">
        <v>6</v>
      </c>
      <c r="G3" s="607"/>
      <c r="H3" s="608"/>
      <c r="I3" s="609" t="s">
        <v>10</v>
      </c>
      <c r="J3" s="601" t="s">
        <v>63</v>
      </c>
      <c r="K3" s="611" t="s">
        <v>64</v>
      </c>
      <c r="L3" s="613" t="s">
        <v>7</v>
      </c>
      <c r="M3" s="614"/>
      <c r="N3" s="615"/>
      <c r="O3" s="616" t="s">
        <v>67</v>
      </c>
      <c r="P3" s="601" t="s">
        <v>69</v>
      </c>
      <c r="Q3" s="593" t="s">
        <v>126</v>
      </c>
      <c r="R3" s="594"/>
    </row>
    <row r="4" spans="1:18" s="18" customFormat="1" ht="60" customHeight="1" x14ac:dyDescent="0.2">
      <c r="A4" s="603"/>
      <c r="B4" s="126" t="s">
        <v>35</v>
      </c>
      <c r="C4" s="126" t="s">
        <v>34</v>
      </c>
      <c r="D4" s="126" t="s">
        <v>36</v>
      </c>
      <c r="E4" s="127" t="s">
        <v>9</v>
      </c>
      <c r="F4" s="143" t="s">
        <v>59</v>
      </c>
      <c r="G4" s="126" t="s">
        <v>60</v>
      </c>
      <c r="H4" s="127" t="s">
        <v>61</v>
      </c>
      <c r="I4" s="610"/>
      <c r="J4" s="601"/>
      <c r="K4" s="612"/>
      <c r="L4" s="127" t="s">
        <v>11</v>
      </c>
      <c r="M4" s="124" t="s">
        <v>12</v>
      </c>
      <c r="N4" s="183" t="s">
        <v>66</v>
      </c>
      <c r="O4" s="616"/>
      <c r="P4" s="601"/>
      <c r="Q4" s="184" t="s">
        <v>124</v>
      </c>
      <c r="R4" s="70" t="s">
        <v>125</v>
      </c>
    </row>
    <row r="5" spans="1:18" hidden="1" x14ac:dyDescent="0.2">
      <c r="A5" s="30">
        <f>'FERC Interest Rates'!A20</f>
        <v>41608</v>
      </c>
      <c r="B5" s="25">
        <v>8981544</v>
      </c>
      <c r="C5" s="25">
        <v>6245512</v>
      </c>
      <c r="D5" s="25">
        <v>1246219</v>
      </c>
      <c r="E5" s="46">
        <f t="shared" ref="E5:E28" si="0">SUM(B5:D5)</f>
        <v>16473275</v>
      </c>
      <c r="F5" s="89">
        <f>-3562+4052+1032</f>
        <v>1522</v>
      </c>
      <c r="G5" s="25">
        <f>-391811+391811+473546</f>
        <v>473546</v>
      </c>
      <c r="H5" s="46">
        <f t="shared" ref="H5:H18" si="1">SUM(F5:G5)</f>
        <v>475068</v>
      </c>
      <c r="I5" s="129">
        <f t="shared" ref="I5:I18" si="2">E5+H5</f>
        <v>16948343</v>
      </c>
      <c r="J5" s="111">
        <f>-42876225-32657013+42877182+32657503+39204659+27378417</f>
        <v>66584523</v>
      </c>
      <c r="K5" s="132">
        <f t="shared" ref="K5" si="3">I5+J5</f>
        <v>83532866</v>
      </c>
      <c r="L5" s="21" t="s">
        <v>65</v>
      </c>
      <c r="M5" s="24">
        <f>6694156+496393+160011+2427804+415916+1440127+893391+560544+1022722+273455-(6694156+496393+160011+2427804+415916+1440127+893391+560544+1022722+273455)+6877899+554962+2079912+3071618+306266+1422327+784739+529710+1054644+278549</f>
        <v>16960626</v>
      </c>
      <c r="N5" s="46">
        <f t="shared" ref="N5:N18" si="4">J5-M5</f>
        <v>49623897</v>
      </c>
      <c r="O5" s="112">
        <f t="shared" ref="O5:O18" si="5">K5-M5</f>
        <v>66572240</v>
      </c>
      <c r="P5" s="111">
        <f>-496393+496393+554962</f>
        <v>554962</v>
      </c>
      <c r="Q5" s="136"/>
      <c r="R5" s="71"/>
    </row>
    <row r="6" spans="1:18" hidden="1" x14ac:dyDescent="0.2">
      <c r="A6" s="30">
        <f>'FERC Interest Rates'!A21</f>
        <v>41639</v>
      </c>
      <c r="B6" s="25">
        <v>18320588</v>
      </c>
      <c r="C6" s="25">
        <v>11226493</v>
      </c>
      <c r="D6" s="25">
        <v>3079194</v>
      </c>
      <c r="E6" s="46">
        <f t="shared" si="0"/>
        <v>32626275</v>
      </c>
      <c r="F6" s="89">
        <f>-1032+1032+9420</f>
        <v>9420</v>
      </c>
      <c r="G6" s="25">
        <f>-473546+473546+594027</f>
        <v>594027</v>
      </c>
      <c r="H6" s="46">
        <f t="shared" si="1"/>
        <v>603447</v>
      </c>
      <c r="I6" s="129">
        <f t="shared" si="2"/>
        <v>33229722</v>
      </c>
      <c r="J6" s="111">
        <f>-39204659-27378417+39042548+27378417+42249626+40077801</f>
        <v>82165316</v>
      </c>
      <c r="K6" s="132">
        <f>I6+J6</f>
        <v>115395038</v>
      </c>
      <c r="L6" s="21" t="s">
        <v>65</v>
      </c>
      <c r="M6" s="24">
        <f>6877899+554962+2079912+2904516+306266+1422327+784739+529710+1054644+278549-(6877899+554962+2079912+3071618+306266+1422327+784739+529710+1054644+278549)+7483576+646377+5363751+3070454+401145+2035761+871026+432080+1151260+295911</f>
        <v>21584239</v>
      </c>
      <c r="N6" s="46">
        <f t="shared" si="4"/>
        <v>60581077</v>
      </c>
      <c r="O6" s="112">
        <f t="shared" si="5"/>
        <v>93810799</v>
      </c>
      <c r="P6" s="111">
        <f>-554962+554962+646377</f>
        <v>646377</v>
      </c>
      <c r="Q6" s="136"/>
      <c r="R6" s="71"/>
    </row>
    <row r="7" spans="1:18" hidden="1" x14ac:dyDescent="0.2">
      <c r="A7" s="30">
        <f>'FERC Interest Rates'!A22</f>
        <v>41670</v>
      </c>
      <c r="B7" s="25">
        <v>20899551</v>
      </c>
      <c r="C7" s="25">
        <v>15807954</v>
      </c>
      <c r="D7" s="25">
        <v>1390372</v>
      </c>
      <c r="E7" s="46">
        <f t="shared" si="0"/>
        <v>38097877</v>
      </c>
      <c r="F7" s="89">
        <f>-9420+9420+8828</f>
        <v>8828</v>
      </c>
      <c r="G7" s="25">
        <f>-594027+594027+549498</f>
        <v>549498</v>
      </c>
      <c r="H7" s="46">
        <f t="shared" si="1"/>
        <v>558326</v>
      </c>
      <c r="I7" s="129">
        <f t="shared" si="2"/>
        <v>38656203</v>
      </c>
      <c r="J7" s="111">
        <f>-42249626-40077801+42261388+40077801+43482656+31005941</f>
        <v>74500359</v>
      </c>
      <c r="K7" s="132">
        <f t="shared" ref="K7:K18" si="6">I7+J7</f>
        <v>113156562</v>
      </c>
      <c r="L7" s="21" t="s">
        <v>65</v>
      </c>
      <c r="M7" s="24">
        <f>7483576+650345+5363751+3070454+401145+2035761+871026+432080+1151260+295911-(7483576+646377+5363751+3070454+401145+2035761+871026+432080+1151260+295911)+7924631+591555+530261+2952608+274556+1903119+968198+560606+1168015+296681</f>
        <v>17174198</v>
      </c>
      <c r="N7" s="46">
        <f t="shared" si="4"/>
        <v>57326161</v>
      </c>
      <c r="O7" s="112">
        <f t="shared" si="5"/>
        <v>95982364</v>
      </c>
      <c r="P7" s="111">
        <f>-646377+650345+591555</f>
        <v>595523</v>
      </c>
      <c r="Q7" s="136"/>
      <c r="R7" s="71"/>
    </row>
    <row r="8" spans="1:18" hidden="1" x14ac:dyDescent="0.2">
      <c r="A8" s="30">
        <f>'FERC Interest Rates'!A23</f>
        <v>41698</v>
      </c>
      <c r="B8" s="25">
        <v>18728366</v>
      </c>
      <c r="C8" s="25">
        <v>13972473</v>
      </c>
      <c r="D8" s="25">
        <v>1430555</v>
      </c>
      <c r="E8" s="46">
        <f t="shared" si="0"/>
        <v>34131394</v>
      </c>
      <c r="F8" s="89">
        <f>-8828+8828+14228</f>
        <v>14228</v>
      </c>
      <c r="G8" s="25">
        <f>-549498+549498+509515</f>
        <v>509515</v>
      </c>
      <c r="H8" s="46">
        <f t="shared" si="1"/>
        <v>523743</v>
      </c>
      <c r="I8" s="129">
        <f t="shared" si="2"/>
        <v>34655137</v>
      </c>
      <c r="J8" s="111">
        <f>-43482656-31005941+43519263+31240262+37914010+26420186</f>
        <v>64605124</v>
      </c>
      <c r="K8" s="132">
        <f t="shared" si="6"/>
        <v>99260261</v>
      </c>
      <c r="L8" s="21" t="s">
        <v>65</v>
      </c>
      <c r="M8" s="24">
        <f>7924631+591555+764582+2952608+274556+1903119+968198+560606+1168015+296681-(7924631+591555+530261+2952608+274556+1903119+968198+560606+1168015+296681)+7052079+530616+2340924+3093441+320341+1568449+697252+430841+1002529+285932</f>
        <v>17556725</v>
      </c>
      <c r="N8" s="46">
        <f t="shared" si="4"/>
        <v>47048399</v>
      </c>
      <c r="O8" s="112">
        <f t="shared" si="5"/>
        <v>81703536</v>
      </c>
      <c r="P8" s="111">
        <f>-591555+591555+530616</f>
        <v>530616</v>
      </c>
      <c r="Q8" s="136"/>
      <c r="R8" s="71"/>
    </row>
    <row r="9" spans="1:18" hidden="1" x14ac:dyDescent="0.2">
      <c r="A9" s="30">
        <f>'FERC Interest Rates'!A24</f>
        <v>41729</v>
      </c>
      <c r="B9" s="25">
        <v>16273150</v>
      </c>
      <c r="C9" s="25">
        <v>12143699</v>
      </c>
      <c r="D9" s="25">
        <v>1316970</v>
      </c>
      <c r="E9" s="46">
        <f t="shared" si="0"/>
        <v>29733819</v>
      </c>
      <c r="F9" s="89">
        <f>-14228+14228+13441</f>
        <v>13441</v>
      </c>
      <c r="G9" s="25">
        <f>-509515+509515+447136</f>
        <v>447136</v>
      </c>
      <c r="H9" s="46">
        <f t="shared" si="1"/>
        <v>460577</v>
      </c>
      <c r="I9" s="129">
        <f t="shared" si="2"/>
        <v>30194396</v>
      </c>
      <c r="J9" s="111">
        <f>-37914010-26420186+37923911+26420186+38417588+12622035</f>
        <v>51049524</v>
      </c>
      <c r="K9" s="132">
        <f t="shared" si="6"/>
        <v>81243920</v>
      </c>
      <c r="L9" s="21" t="s">
        <v>65</v>
      </c>
      <c r="M9" s="24">
        <f>7052079+530616+2340924+3093441+320341+1568449+697252+430841+1002529+285932-(7052079+530616+2340924+3093441+320341+1568449+697252+430841+1002529+285932)+10350347+506888+358742+3325061+664366+1689724+886841+442692+1067268+298497</f>
        <v>19590426</v>
      </c>
      <c r="N9" s="46">
        <f t="shared" si="4"/>
        <v>31459098</v>
      </c>
      <c r="O9" s="112">
        <f t="shared" si="5"/>
        <v>61653494</v>
      </c>
      <c r="P9" s="111">
        <f>-530616+530616+506888</f>
        <v>506888</v>
      </c>
      <c r="Q9" s="136"/>
      <c r="R9" s="71"/>
    </row>
    <row r="10" spans="1:18" hidden="1" x14ac:dyDescent="0.2">
      <c r="A10" s="30">
        <f>'FERC Interest Rates'!A25</f>
        <v>41759</v>
      </c>
      <c r="B10" s="25">
        <v>10535035</v>
      </c>
      <c r="C10" s="25">
        <v>6890795</v>
      </c>
      <c r="D10" s="25">
        <v>1792618</v>
      </c>
      <c r="E10" s="46">
        <f t="shared" si="0"/>
        <v>19218448</v>
      </c>
      <c r="F10" s="89">
        <f>-13441+13441+13712</f>
        <v>13712</v>
      </c>
      <c r="G10" s="25">
        <f>-447136+447136+369197</f>
        <v>369197</v>
      </c>
      <c r="H10" s="46">
        <f t="shared" si="1"/>
        <v>382909</v>
      </c>
      <c r="I10" s="129">
        <f t="shared" si="2"/>
        <v>19601357</v>
      </c>
      <c r="J10" s="111">
        <f>-38417588-12622035+38424653+12622035+35791910-1689724+12474229</f>
        <v>46583480</v>
      </c>
      <c r="K10" s="132">
        <f t="shared" si="6"/>
        <v>66184837</v>
      </c>
      <c r="L10" s="21" t="s">
        <v>65</v>
      </c>
      <c r="M10" s="24">
        <f>10350347+499489+358742+3325061+664366+1698951+886841+442692+1067268+298497-(10350347+506888+358742+3325061+664366+1689724+886841+442692+1067268+298497)+9796313+429432+80912+2379064+880319+1657442+751000+321536+1050993+291110</f>
        <v>17639949</v>
      </c>
      <c r="N10" s="46">
        <f t="shared" si="4"/>
        <v>28943531</v>
      </c>
      <c r="O10" s="112">
        <f t="shared" si="5"/>
        <v>48544888</v>
      </c>
      <c r="P10" s="111">
        <f>-506888+499489+429432</f>
        <v>422033</v>
      </c>
      <c r="Q10" s="136"/>
      <c r="R10" s="71"/>
    </row>
    <row r="11" spans="1:18" hidden="1" x14ac:dyDescent="0.2">
      <c r="A11" s="30">
        <f>'FERC Interest Rates'!A26</f>
        <v>41790</v>
      </c>
      <c r="B11" s="25">
        <v>6529687</v>
      </c>
      <c r="C11" s="25">
        <v>5039544</v>
      </c>
      <c r="D11" s="25">
        <v>730395</v>
      </c>
      <c r="E11" s="46">
        <f t="shared" si="0"/>
        <v>12299626</v>
      </c>
      <c r="F11" s="89">
        <f>-13712+13712+7236</f>
        <v>7236</v>
      </c>
      <c r="G11" s="25">
        <f>-369197+369197+280289</f>
        <v>280289</v>
      </c>
      <c r="H11" s="46">
        <f t="shared" si="1"/>
        <v>287525</v>
      </c>
      <c r="I11" s="129">
        <f t="shared" si="2"/>
        <v>12587151</v>
      </c>
      <c r="J11" s="111">
        <f>-35791910+1689724-12474229+34110077+12473803+33859025+11641045</f>
        <v>45507535</v>
      </c>
      <c r="K11" s="132">
        <f t="shared" si="6"/>
        <v>58094686</v>
      </c>
      <c r="L11" s="21" t="s">
        <v>65</v>
      </c>
      <c r="M11" s="24">
        <f>9796313+429432+80912+2379064+880319+1657442+751000+321536+1050993+291110-(9796313+429432+80912+2379064+880319+1657442+751000+321536+1050993+291110)+6382262+410029+544843+2415879+816156+1521158+508591+363130+1076119+289404</f>
        <v>14327571</v>
      </c>
      <c r="N11" s="46">
        <f t="shared" si="4"/>
        <v>31179964</v>
      </c>
      <c r="O11" s="112">
        <f t="shared" si="5"/>
        <v>43767115</v>
      </c>
      <c r="P11" s="111">
        <f>-429432+429432+410029</f>
        <v>410029</v>
      </c>
      <c r="Q11" s="136"/>
      <c r="R11" s="71"/>
    </row>
    <row r="12" spans="1:18" hidden="1" x14ac:dyDescent="0.2">
      <c r="A12" s="30">
        <f>'FERC Interest Rates'!A27</f>
        <v>41820</v>
      </c>
      <c r="B12" s="25">
        <v>3836089</v>
      </c>
      <c r="C12" s="25">
        <v>3473639</v>
      </c>
      <c r="D12" s="25">
        <v>585889</v>
      </c>
      <c r="E12" s="46">
        <f t="shared" si="0"/>
        <v>7895617</v>
      </c>
      <c r="F12" s="89">
        <f>-7236+7236+12495</f>
        <v>12495</v>
      </c>
      <c r="G12" s="25">
        <f>-280289+280289+236982</f>
        <v>236982</v>
      </c>
      <c r="H12" s="46">
        <f t="shared" si="1"/>
        <v>249477</v>
      </c>
      <c r="I12" s="129">
        <f t="shared" si="2"/>
        <v>8145094</v>
      </c>
      <c r="J12" s="111">
        <f>-33859025-11641045+33861261+11641045+33441588+9166991</f>
        <v>42610815</v>
      </c>
      <c r="K12" s="132">
        <f t="shared" si="6"/>
        <v>50755909</v>
      </c>
      <c r="L12" s="21" t="s">
        <v>65</v>
      </c>
      <c r="M12" s="24">
        <f>6382262+410029+544843+2415879+816156+1521158+508591+363130+1076119+289404-(6382262+410029+544843+2415879+816156+1521158+508591+363130+1076119+289404)+5496890+368800+100442+2601535+574764+1429307+631237+325924+1072958+266055</f>
        <v>12867912</v>
      </c>
      <c r="N12" s="46">
        <f t="shared" si="4"/>
        <v>29742903</v>
      </c>
      <c r="O12" s="112">
        <f t="shared" si="5"/>
        <v>37887997</v>
      </c>
      <c r="P12" s="111">
        <f>-410029+410029+368800</f>
        <v>368800</v>
      </c>
      <c r="Q12" s="136"/>
      <c r="R12" s="71"/>
    </row>
    <row r="13" spans="1:18" hidden="1" x14ac:dyDescent="0.2">
      <c r="A13" s="30">
        <f>'FERC Interest Rates'!A28</f>
        <v>41851</v>
      </c>
      <c r="B13" s="25">
        <v>3200841</v>
      </c>
      <c r="C13" s="25">
        <v>3132555</v>
      </c>
      <c r="D13" s="25">
        <v>589225</v>
      </c>
      <c r="E13" s="46">
        <f t="shared" si="0"/>
        <v>6922621</v>
      </c>
      <c r="F13" s="89">
        <f>-12495+12495+9729</f>
        <v>9729</v>
      </c>
      <c r="G13" s="25">
        <f>-236982+236982+230095</f>
        <v>230095</v>
      </c>
      <c r="H13" s="46">
        <f t="shared" si="1"/>
        <v>239824</v>
      </c>
      <c r="I13" s="129">
        <f t="shared" si="2"/>
        <v>7162445</v>
      </c>
      <c r="J13" s="111">
        <f>-33441588-9166991+33447225+9166991+34241270+26302235</f>
        <v>60549142</v>
      </c>
      <c r="K13" s="132">
        <f t="shared" si="6"/>
        <v>67711587</v>
      </c>
      <c r="L13" s="21" t="s">
        <v>65</v>
      </c>
      <c r="M13" s="24">
        <f>5496890+371579+100442+2601535+574764+1429307+631237+325924+1072958+266055-(5496890+368800+100442+2601535+574764+1429307+631237+325924+1072958+266055)+6437743+362338+2115355+2428151+719594+1420571+430483+210238+1083197+270305</f>
        <v>15480754</v>
      </c>
      <c r="N13" s="46">
        <f t="shared" si="4"/>
        <v>45068388</v>
      </c>
      <c r="O13" s="112">
        <f t="shared" si="5"/>
        <v>52230833</v>
      </c>
      <c r="P13" s="111">
        <f>-368800+371579+362338</f>
        <v>365117</v>
      </c>
      <c r="Q13" s="136"/>
      <c r="R13" s="71"/>
    </row>
    <row r="14" spans="1:18" hidden="1" x14ac:dyDescent="0.2">
      <c r="A14" s="30">
        <f>'FERC Interest Rates'!A29</f>
        <v>41882</v>
      </c>
      <c r="B14" s="25">
        <v>2405032</v>
      </c>
      <c r="C14" s="25">
        <v>2624238</v>
      </c>
      <c r="D14" s="25">
        <v>469407</v>
      </c>
      <c r="E14" s="46">
        <f t="shared" si="0"/>
        <v>5498677</v>
      </c>
      <c r="F14" s="89">
        <f>-9729+9729+11012</f>
        <v>11012</v>
      </c>
      <c r="G14" s="25">
        <f>-230095+230095+209217</f>
        <v>209217</v>
      </c>
      <c r="H14" s="46">
        <f t="shared" si="1"/>
        <v>220229</v>
      </c>
      <c r="I14" s="129">
        <f t="shared" si="2"/>
        <v>5718906</v>
      </c>
      <c r="J14" s="111">
        <f>-34241270-26302235+34190840+26302235+35905732+41041046</f>
        <v>76896348</v>
      </c>
      <c r="K14" s="132">
        <f t="shared" si="6"/>
        <v>82615254</v>
      </c>
      <c r="L14" s="21" t="s">
        <v>65</v>
      </c>
      <c r="M14" s="24">
        <f>6437743+362338+2115355+2428151+719594+1420571+430483+210238+1083197+270305-(6437743+362338+2115355+2428151+719594+1420571+430483+210238+1083197+270305)+6468590+386762+5042350+2333053+500625+1378732+767133+428981+1079807+270265</f>
        <v>18656298</v>
      </c>
      <c r="N14" s="46">
        <f t="shared" si="4"/>
        <v>58240050</v>
      </c>
      <c r="O14" s="112">
        <f t="shared" si="5"/>
        <v>63958956</v>
      </c>
      <c r="P14" s="111">
        <f>-362338+362338+386762</f>
        <v>386762</v>
      </c>
      <c r="Q14" s="136"/>
      <c r="R14" s="71"/>
    </row>
    <row r="15" spans="1:18" hidden="1" x14ac:dyDescent="0.2">
      <c r="A15" s="30">
        <f>'FERC Interest Rates'!A30</f>
        <v>41912</v>
      </c>
      <c r="B15" s="25">
        <v>2661734</v>
      </c>
      <c r="C15" s="25">
        <v>2810250</v>
      </c>
      <c r="D15" s="25">
        <v>633602</v>
      </c>
      <c r="E15" s="46">
        <f t="shared" si="0"/>
        <v>6105586</v>
      </c>
      <c r="F15" s="89">
        <f>-11012+11012+12365</f>
        <v>12365</v>
      </c>
      <c r="G15" s="25">
        <f>-209217+209217+251364</f>
        <v>251364</v>
      </c>
      <c r="H15" s="46">
        <f t="shared" si="1"/>
        <v>263729</v>
      </c>
      <c r="I15" s="129">
        <f t="shared" si="2"/>
        <v>6369315</v>
      </c>
      <c r="J15" s="111">
        <f>-35905732-41041046+35905963+41041046+37015948+38913065</f>
        <v>75929244</v>
      </c>
      <c r="K15" s="132">
        <f t="shared" si="6"/>
        <v>82298559</v>
      </c>
      <c r="L15" s="21" t="s">
        <v>65</v>
      </c>
      <c r="M15" s="24">
        <f>6468590+386762+5042350+2333053+500625+1378732+767133+428981+1079807+270265-(6468590+386762+5042350+2333053+500625+1378732+767133+428981+1079807+270265)+6768259+397090+4746980+2796281+172941+1499626+782947+412733+1044404+257076</f>
        <v>18878337</v>
      </c>
      <c r="N15" s="46">
        <f t="shared" si="4"/>
        <v>57050907</v>
      </c>
      <c r="O15" s="112">
        <f t="shared" si="5"/>
        <v>63420222</v>
      </c>
      <c r="P15" s="111">
        <f>-386762+386762+397090</f>
        <v>397090</v>
      </c>
      <c r="Q15" s="136"/>
      <c r="R15" s="71"/>
    </row>
    <row r="16" spans="1:18" hidden="1" x14ac:dyDescent="0.2">
      <c r="A16" s="19">
        <f>'FERC Interest Rates'!A31</f>
        <v>41943</v>
      </c>
      <c r="B16" s="28">
        <v>3641361</v>
      </c>
      <c r="C16" s="28">
        <v>3597412</v>
      </c>
      <c r="D16" s="28">
        <v>1455055</v>
      </c>
      <c r="E16" s="47">
        <f t="shared" si="0"/>
        <v>8693828</v>
      </c>
      <c r="F16" s="89">
        <f>-12365+12365+12119</f>
        <v>12119</v>
      </c>
      <c r="G16" s="28">
        <f>-251364+251364+300915</f>
        <v>300915</v>
      </c>
      <c r="H16" s="47">
        <f t="shared" si="1"/>
        <v>313034</v>
      </c>
      <c r="I16" s="130">
        <f t="shared" si="2"/>
        <v>9006862</v>
      </c>
      <c r="J16" s="111">
        <f>-37015948-38913065+37019829+38913065+41711206+26835958</f>
        <v>68551045</v>
      </c>
      <c r="K16" s="133">
        <f t="shared" si="6"/>
        <v>77557907</v>
      </c>
      <c r="L16" s="22" t="s">
        <v>65</v>
      </c>
      <c r="M16" s="28">
        <f>6768259+400820+4746980+2796281+172941+1499626+782947+412733+1044404+257076-(6768259+397090+4746980+2796281+172941+1499626+782947+412733+1044404+257076)+7053573+428038+602341+2997600+38078+1574772+801305+400565+1128241+282568</f>
        <v>15310811</v>
      </c>
      <c r="N16" s="47">
        <f t="shared" si="4"/>
        <v>53240234</v>
      </c>
      <c r="O16" s="112">
        <f t="shared" si="5"/>
        <v>62247096</v>
      </c>
      <c r="P16" s="111">
        <f>-397090+400820+428038</f>
        <v>431768</v>
      </c>
      <c r="Q16" s="136"/>
      <c r="R16" s="71"/>
    </row>
    <row r="17" spans="1:18" hidden="1" x14ac:dyDescent="0.2">
      <c r="A17" s="30">
        <f>'FERC Interest Rates'!A32</f>
        <v>41973</v>
      </c>
      <c r="B17" s="25">
        <v>6851471</v>
      </c>
      <c r="C17" s="25">
        <v>4831845</v>
      </c>
      <c r="D17" s="25">
        <v>977303</v>
      </c>
      <c r="E17" s="46">
        <f t="shared" si="0"/>
        <v>12660619</v>
      </c>
      <c r="F17" s="89">
        <f>-12119+12119+11804</f>
        <v>11804</v>
      </c>
      <c r="G17" s="25">
        <f>-300915+300915+461069</f>
        <v>461069</v>
      </c>
      <c r="H17" s="46">
        <f t="shared" si="1"/>
        <v>472873</v>
      </c>
      <c r="I17" s="129">
        <f t="shared" si="2"/>
        <v>13133492</v>
      </c>
      <c r="J17" s="111">
        <f>-41711206-26835958+41710039+26835958+42244606+21309993</f>
        <v>63553432</v>
      </c>
      <c r="K17" s="132">
        <f t="shared" si="6"/>
        <v>76686924</v>
      </c>
      <c r="L17" s="21" t="s">
        <v>65</v>
      </c>
      <c r="M17" s="24">
        <f>7053573+428038+602341+2997600+38078+1574772+801305+400565+1128241+282568-(7053573+428038+602341+2997600+38078+1574772+801305+400565+1128241+282568)+7251568+535558+2317939+3141571+362918+1926299+824310+457802+1171801+290801</f>
        <v>18280567</v>
      </c>
      <c r="N17" s="46">
        <f t="shared" si="4"/>
        <v>45272865</v>
      </c>
      <c r="O17" s="112">
        <f t="shared" si="5"/>
        <v>58406357</v>
      </c>
      <c r="P17" s="111">
        <f>-428038+428038+535558</f>
        <v>535558</v>
      </c>
      <c r="Q17" s="9"/>
      <c r="R17" s="73"/>
    </row>
    <row r="18" spans="1:18" hidden="1" x14ac:dyDescent="0.2">
      <c r="A18" s="30">
        <f>'FERC Interest Rates'!A33</f>
        <v>42004</v>
      </c>
      <c r="B18" s="25">
        <v>16768304</v>
      </c>
      <c r="C18" s="25">
        <v>12223769</v>
      </c>
      <c r="D18" s="25">
        <v>1506794</v>
      </c>
      <c r="E18" s="46">
        <f t="shared" si="0"/>
        <v>30498867</v>
      </c>
      <c r="F18" s="89">
        <f>-11804+11804+11017</f>
        <v>11017</v>
      </c>
      <c r="G18" s="25">
        <f>-461069+461069+527921</f>
        <v>527921</v>
      </c>
      <c r="H18" s="46">
        <f t="shared" si="1"/>
        <v>538938</v>
      </c>
      <c r="I18" s="129">
        <f t="shared" si="2"/>
        <v>31037805</v>
      </c>
      <c r="J18" s="111">
        <f>-42244606-21309993+42268246+21245123+42259375+20530964</f>
        <v>62749109</v>
      </c>
      <c r="K18" s="132">
        <f t="shared" si="6"/>
        <v>93786914</v>
      </c>
      <c r="L18" s="21" t="s">
        <v>65</v>
      </c>
      <c r="M18" s="24">
        <f>7251568+535558+2317939+3141571+298048+1926299+824310+457802+1171801+290801-(7251568+535558+2317939+3141571+362918+1926299+824310+457802+1171801+290801)+7671976+596910+1235157+3610898+362819+2082095+831536+448199+1199625+297405</f>
        <v>18271750</v>
      </c>
      <c r="N18" s="46">
        <f t="shared" si="4"/>
        <v>44477359</v>
      </c>
      <c r="O18" s="112">
        <f t="shared" si="5"/>
        <v>75515164</v>
      </c>
      <c r="P18" s="111">
        <f>-535558+535558+596910</f>
        <v>596910</v>
      </c>
      <c r="Q18" s="136"/>
      <c r="R18" s="71"/>
    </row>
    <row r="19" spans="1:18" hidden="1" x14ac:dyDescent="0.2">
      <c r="A19" s="30">
        <f>'FERC Interest Rates'!A34</f>
        <v>42035</v>
      </c>
      <c r="B19" s="25">
        <v>17578866</v>
      </c>
      <c r="C19" s="25">
        <v>12961800</v>
      </c>
      <c r="D19" s="25">
        <v>1412476</v>
      </c>
      <c r="E19" s="46">
        <f t="shared" si="0"/>
        <v>31953142</v>
      </c>
      <c r="F19" s="89">
        <f>-11017+11017+12204</f>
        <v>12204</v>
      </c>
      <c r="G19" s="25">
        <f>-527921+527921+529386</f>
        <v>529386</v>
      </c>
      <c r="H19" s="46">
        <f t="shared" ref="H19:H28" si="7">SUM(F19:G19)</f>
        <v>541590</v>
      </c>
      <c r="I19" s="129">
        <f t="shared" ref="I19:I30" si="8">E19+H19</f>
        <v>32494732</v>
      </c>
      <c r="J19" s="111">
        <f>-42259375-20530964+42269854+20530964+41276535+19117684</f>
        <v>60404698</v>
      </c>
      <c r="K19" s="132">
        <f t="shared" ref="K19:K30" si="9">I19+J19</f>
        <v>92899430</v>
      </c>
      <c r="L19" s="21" t="s">
        <v>65</v>
      </c>
      <c r="M19" s="24">
        <f>7671976+601614+1235157+3610898+362819+2082095+831536+448199+1199625+297405-(7671976+596910+1235157+3610898+362819+2082095+831536+448199+1199625+297405)+7775240+628657+261306+2998359+565275+2128262+1002064+552389+1164723+315674</f>
        <v>17396653</v>
      </c>
      <c r="N19" s="46">
        <f t="shared" ref="N19:N30" si="10">J19-M19</f>
        <v>43008045</v>
      </c>
      <c r="O19" s="112">
        <f t="shared" ref="O19:O30" si="11">K19-M19</f>
        <v>75502777</v>
      </c>
      <c r="P19" s="111">
        <f>-596910+601614+628657</f>
        <v>633361</v>
      </c>
      <c r="Q19" s="136"/>
      <c r="R19" s="71"/>
    </row>
    <row r="20" spans="1:18" hidden="1" x14ac:dyDescent="0.2">
      <c r="A20" s="30">
        <f>'FERC Interest Rates'!A35</f>
        <v>42063</v>
      </c>
      <c r="B20" s="25">
        <v>14997100</v>
      </c>
      <c r="C20" s="25">
        <v>11518730</v>
      </c>
      <c r="D20" s="25">
        <v>1613976</v>
      </c>
      <c r="E20" s="46">
        <f t="shared" si="0"/>
        <v>28129806</v>
      </c>
      <c r="F20" s="89">
        <v>14542</v>
      </c>
      <c r="G20" s="25">
        <f>-529386+529366+405270</f>
        <v>405250</v>
      </c>
      <c r="H20" s="46">
        <f t="shared" si="7"/>
        <v>419792</v>
      </c>
      <c r="I20" s="129">
        <f t="shared" si="8"/>
        <v>28549598</v>
      </c>
      <c r="J20" s="111">
        <f>-41276535-19117684+41280723+19117539+34347690+12512992</f>
        <v>46864725</v>
      </c>
      <c r="K20" s="132">
        <f t="shared" si="9"/>
        <v>75414323</v>
      </c>
      <c r="L20" s="21" t="s">
        <v>65</v>
      </c>
      <c r="M20" s="24">
        <f>7775240+628657+261306+2998359+565275+2128262+1002064+552389+1164723+315674-(7775240+628657+261306+2998359+565275+2128262+1002064+552389+1164723+315674)+5552771+509140+113871+2075909+864722+1967544+801800+470618+1096799+284521</f>
        <v>13737695</v>
      </c>
      <c r="N20" s="46">
        <f t="shared" si="10"/>
        <v>33127030</v>
      </c>
      <c r="O20" s="112">
        <f t="shared" si="11"/>
        <v>61676628</v>
      </c>
      <c r="P20" s="111">
        <f>-628657+628657+509140</f>
        <v>509140</v>
      </c>
      <c r="Q20" s="136"/>
      <c r="R20" s="71"/>
    </row>
    <row r="21" spans="1:18" hidden="1" x14ac:dyDescent="0.2">
      <c r="A21" s="30">
        <f>'FERC Interest Rates'!A36</f>
        <v>42094</v>
      </c>
      <c r="B21" s="25">
        <v>12686420</v>
      </c>
      <c r="C21" s="25">
        <v>9397664</v>
      </c>
      <c r="D21" s="25">
        <v>1284186</v>
      </c>
      <c r="E21" s="46">
        <f t="shared" si="0"/>
        <v>23368270</v>
      </c>
      <c r="F21" s="89">
        <f>-14542+14415+9557</f>
        <v>9430</v>
      </c>
      <c r="G21" s="25">
        <f>-405270+405270+394245</f>
        <v>394245</v>
      </c>
      <c r="H21" s="46">
        <f t="shared" si="7"/>
        <v>403675</v>
      </c>
      <c r="I21" s="129">
        <f t="shared" si="8"/>
        <v>23771945</v>
      </c>
      <c r="J21" s="111">
        <f>-34347690-12512992+34352010+12512992+38005282+20640594</f>
        <v>58650196</v>
      </c>
      <c r="K21" s="132">
        <f t="shared" si="9"/>
        <v>82422141</v>
      </c>
      <c r="L21" s="21" t="s">
        <v>65</v>
      </c>
      <c r="M21" s="24">
        <f>5552771+509140+113871+2075909+864722+1967544+801800+470618+1096799+284521-(5552771+509140+113871+2075909+864722+1967544+801800+470618+1096799+284521)+7235152+531599+201239+2265435+683468+2369837+650095+383330+1085376+314698</f>
        <v>15720229</v>
      </c>
      <c r="N21" s="46">
        <f t="shared" si="10"/>
        <v>42929967</v>
      </c>
      <c r="O21" s="112">
        <f t="shared" si="11"/>
        <v>66701912</v>
      </c>
      <c r="P21" s="111">
        <f>-509140+509140+531599</f>
        <v>531599</v>
      </c>
      <c r="Q21" s="136"/>
      <c r="R21" s="71"/>
    </row>
    <row r="22" spans="1:18" hidden="1" x14ac:dyDescent="0.2">
      <c r="A22" s="30">
        <f>'FERC Interest Rates'!A37</f>
        <v>42124</v>
      </c>
      <c r="B22" s="25">
        <v>9059678</v>
      </c>
      <c r="C22" s="25">
        <v>6918371</v>
      </c>
      <c r="D22" s="25">
        <v>935256</v>
      </c>
      <c r="E22" s="46">
        <f t="shared" si="0"/>
        <v>16913305</v>
      </c>
      <c r="F22" s="89">
        <f>-9557+9254+12199</f>
        <v>11896</v>
      </c>
      <c r="G22" s="25">
        <f>-394245+394245+361119</f>
        <v>361119</v>
      </c>
      <c r="H22" s="46">
        <f t="shared" si="7"/>
        <v>373015</v>
      </c>
      <c r="I22" s="129">
        <f t="shared" si="8"/>
        <v>17286320</v>
      </c>
      <c r="J22" s="111">
        <f>-38005282-20640594+38009615+20640594+33858981+20115722</f>
        <v>53979036</v>
      </c>
      <c r="K22" s="132">
        <f t="shared" si="9"/>
        <v>71265356</v>
      </c>
      <c r="L22" s="21" t="s">
        <v>65</v>
      </c>
      <c r="M22" s="24">
        <f>7235152+533473+201239+2265435+683468+2369837+650095+383330+1085376+314698-(7235152+531599+201239+2265435+683468+2369837+650095+383330+1085376+314698)+6684964+463039+552050+2607855+93873+1702162+890245+361162+1107762+342282</f>
        <v>14807268</v>
      </c>
      <c r="N22" s="46">
        <f t="shared" si="10"/>
        <v>39171768</v>
      </c>
      <c r="O22" s="112">
        <f t="shared" si="11"/>
        <v>56458088</v>
      </c>
      <c r="P22" s="111">
        <f>-531599+533473+463039</f>
        <v>464913</v>
      </c>
      <c r="Q22" s="136"/>
      <c r="R22" s="71"/>
    </row>
    <row r="23" spans="1:18" hidden="1" x14ac:dyDescent="0.2">
      <c r="A23" s="30">
        <f>'FERC Interest Rates'!A38</f>
        <v>42155</v>
      </c>
      <c r="B23" s="25">
        <v>6136917</v>
      </c>
      <c r="C23" s="25">
        <v>4971568</v>
      </c>
      <c r="D23" s="25">
        <v>856194</v>
      </c>
      <c r="E23" s="46">
        <f t="shared" si="0"/>
        <v>11964679</v>
      </c>
      <c r="F23" s="89">
        <f>-12199+12199+14905</f>
        <v>14905</v>
      </c>
      <c r="G23" s="25">
        <f>-361119+361119+268036</f>
        <v>268036</v>
      </c>
      <c r="H23" s="46">
        <f t="shared" si="7"/>
        <v>282941</v>
      </c>
      <c r="I23" s="129">
        <f t="shared" si="8"/>
        <v>12247620</v>
      </c>
      <c r="J23" s="111">
        <f>-33858981-20115722+33860743+20115722+33470121+27542200</f>
        <v>61014083</v>
      </c>
      <c r="K23" s="132">
        <f t="shared" si="9"/>
        <v>73261703</v>
      </c>
      <c r="L23" s="21" t="s">
        <v>65</v>
      </c>
      <c r="M23" s="24">
        <f>6684964+463039+552050+2609617+93873+1702162+890245+361162+1107762+342282-(6684964+463039+552050+2607855+93873+1702162+890245+361162+1107762+342282)+7000246+456023+1621381+2652137+524882+1621847+374191+391728+1106384+340345</f>
        <v>16090926</v>
      </c>
      <c r="N23" s="46">
        <f t="shared" si="10"/>
        <v>44923157</v>
      </c>
      <c r="O23" s="112">
        <f t="shared" si="11"/>
        <v>57170777</v>
      </c>
      <c r="P23" s="111">
        <f>-463039+463039+456023</f>
        <v>456023</v>
      </c>
      <c r="Q23" s="136"/>
      <c r="R23" s="71"/>
    </row>
    <row r="24" spans="1:18" hidden="1" x14ac:dyDescent="0.2">
      <c r="A24" s="30">
        <f>'FERC Interest Rates'!A39</f>
        <v>42185</v>
      </c>
      <c r="B24" s="25">
        <v>3875649</v>
      </c>
      <c r="C24" s="25">
        <v>3719322</v>
      </c>
      <c r="D24" s="25">
        <v>678441</v>
      </c>
      <c r="E24" s="46">
        <f t="shared" si="0"/>
        <v>8273412</v>
      </c>
      <c r="F24" s="89">
        <f>-14905+14905+16538</f>
        <v>16538</v>
      </c>
      <c r="G24" s="25">
        <f>-268036+268036+223986</f>
        <v>223986</v>
      </c>
      <c r="H24" s="46">
        <f t="shared" si="7"/>
        <v>240524</v>
      </c>
      <c r="I24" s="129">
        <f t="shared" si="8"/>
        <v>8513936</v>
      </c>
      <c r="J24" s="111">
        <f>-33470121-27542200+33471024+27542200+32081827+26900425</f>
        <v>58983155</v>
      </c>
      <c r="K24" s="132">
        <f t="shared" si="9"/>
        <v>67497091</v>
      </c>
      <c r="L24" s="21" t="s">
        <v>65</v>
      </c>
      <c r="M24" s="24">
        <f>7000246+456023+1621381+2652137+524882+1621847+374191+391728+1106384+340345-(7000246+456023+1621381+2652137+524882+1621847+374191+391728+1106384+340345)+3937653+391055+5658892+2168854+1382635+1646732+737859+425098+1015536+329092</f>
        <v>17693406</v>
      </c>
      <c r="N24" s="46">
        <f t="shared" si="10"/>
        <v>41289749</v>
      </c>
      <c r="O24" s="112">
        <f t="shared" si="11"/>
        <v>49803685</v>
      </c>
      <c r="P24" s="111">
        <f>-456023+456023+391055</f>
        <v>391055</v>
      </c>
      <c r="Q24" s="136"/>
      <c r="R24" s="71"/>
    </row>
    <row r="25" spans="1:18" hidden="1" x14ac:dyDescent="0.2">
      <c r="A25" s="30">
        <f>'FERC Interest Rates'!A40</f>
        <v>42216</v>
      </c>
      <c r="B25" s="25">
        <v>2480569</v>
      </c>
      <c r="C25" s="25">
        <v>2695667</v>
      </c>
      <c r="D25" s="25">
        <v>589631</v>
      </c>
      <c r="E25" s="46">
        <f t="shared" si="0"/>
        <v>5765867</v>
      </c>
      <c r="F25" s="89">
        <f>-16538+16538+8369</f>
        <v>8369</v>
      </c>
      <c r="G25" s="25">
        <f>-223986+223986+197044</f>
        <v>197044</v>
      </c>
      <c r="H25" s="46">
        <f t="shared" si="7"/>
        <v>205413</v>
      </c>
      <c r="I25" s="129">
        <f t="shared" si="8"/>
        <v>5971280</v>
      </c>
      <c r="J25" s="111">
        <f>-32081827-26900425+32083570+26898912+29865378+40621369</f>
        <v>70486977</v>
      </c>
      <c r="K25" s="132">
        <f>I25+J25</f>
        <v>76458257</v>
      </c>
      <c r="L25" s="21" t="s">
        <v>65</v>
      </c>
      <c r="M25" s="24">
        <f>3937653+392798+5658892+2168854+1382635+1646732+737859+425098+1015536+329092-(3937653+391055+5658892+2168854+1382635+1646732+737859+425098+1015536+329092)+7284221+382367+5999621+2253453+469138+1673592+658284+325589+1103993+323435</f>
        <v>20475436</v>
      </c>
      <c r="N25" s="46">
        <f>J25-M25</f>
        <v>50011541</v>
      </c>
      <c r="O25" s="112">
        <f t="shared" si="11"/>
        <v>55982821</v>
      </c>
      <c r="P25" s="111">
        <f>-391055+392798+382367</f>
        <v>384110</v>
      </c>
      <c r="Q25" s="136"/>
      <c r="R25" s="71"/>
    </row>
    <row r="26" spans="1:18" hidden="1" x14ac:dyDescent="0.2">
      <c r="A26" s="30">
        <f>'FERC Interest Rates'!A41</f>
        <v>42247</v>
      </c>
      <c r="B26" s="25">
        <v>2474134</v>
      </c>
      <c r="C26" s="25">
        <v>2789182</v>
      </c>
      <c r="D26" s="25">
        <v>586174</v>
      </c>
      <c r="E26" s="46">
        <f t="shared" si="0"/>
        <v>5849490</v>
      </c>
      <c r="F26" s="89">
        <f>-8369+8369+11302</f>
        <v>11302</v>
      </c>
      <c r="G26" s="25">
        <f>-197044+197044+188629</f>
        <v>188629</v>
      </c>
      <c r="H26" s="46">
        <f t="shared" si="7"/>
        <v>199931</v>
      </c>
      <c r="I26" s="129">
        <f t="shared" si="8"/>
        <v>6049421</v>
      </c>
      <c r="J26" s="111">
        <f>-29865378-40621369+29865378+40621369+31792227+36774894</f>
        <v>68567121</v>
      </c>
      <c r="K26" s="132">
        <f t="shared" si="9"/>
        <v>74616542</v>
      </c>
      <c r="L26" s="21" t="s">
        <v>65</v>
      </c>
      <c r="M26" s="24">
        <f>7284221+382367+5999621+2253453+469138+1673592+658284+325589+1103993+323435-(7284221+382367+5999621+2253453+469138+1673592+658284+325589+1103993+323435)+5979173+397888+4103554+1975935+1000277+1584845+784690+404637+1090094+324857</f>
        <v>17645950</v>
      </c>
      <c r="N26" s="46">
        <f t="shared" si="10"/>
        <v>50921171</v>
      </c>
      <c r="O26" s="112">
        <f t="shared" si="11"/>
        <v>56970592</v>
      </c>
      <c r="P26" s="111">
        <f>-382367+382367+397888</f>
        <v>397888</v>
      </c>
      <c r="Q26" s="136"/>
      <c r="R26" s="71"/>
    </row>
    <row r="27" spans="1:18" hidden="1" x14ac:dyDescent="0.2">
      <c r="A27" s="30">
        <f>'FERC Interest Rates'!A42</f>
        <v>42277</v>
      </c>
      <c r="B27" s="25">
        <v>2883443</v>
      </c>
      <c r="C27" s="25">
        <f>2956283+10810</f>
        <v>2967093</v>
      </c>
      <c r="D27" s="25">
        <f>1097150+10275</f>
        <v>1107425</v>
      </c>
      <c r="E27" s="46">
        <f t="shared" si="0"/>
        <v>6957961</v>
      </c>
      <c r="F27" s="89">
        <f>-11302+11302+10868</f>
        <v>10868</v>
      </c>
      <c r="G27" s="25">
        <f>-188629+188629+238237</f>
        <v>238237</v>
      </c>
      <c r="H27" s="46">
        <f t="shared" si="7"/>
        <v>249105</v>
      </c>
      <c r="I27" s="129">
        <f t="shared" si="8"/>
        <v>7207066</v>
      </c>
      <c r="J27" s="111">
        <f>-31792227-36774894+31792227+36774894+33527440+33218245</f>
        <v>66745685</v>
      </c>
      <c r="K27" s="132">
        <f t="shared" si="9"/>
        <v>73952751</v>
      </c>
      <c r="L27" s="21" t="s">
        <v>65</v>
      </c>
      <c r="M27" s="24">
        <f>5979173+397888+4103554+1975935+1000277+1584845+784690+404637+1090094+324857-(5979173+397888+4103554+1975935+1000277+1584845+784690+404637+1090094+324857)+6663969+400700+2529166+1980304+859837+1282479+714718+417143+1052339+327569</f>
        <v>16228224</v>
      </c>
      <c r="N27" s="46">
        <f t="shared" si="10"/>
        <v>50517461</v>
      </c>
      <c r="O27" s="112">
        <f t="shared" si="11"/>
        <v>57724527</v>
      </c>
      <c r="P27" s="111">
        <f>-397888+397888+400700</f>
        <v>400700</v>
      </c>
      <c r="Q27" s="136"/>
      <c r="R27" s="71"/>
    </row>
    <row r="28" spans="1:18" hidden="1" x14ac:dyDescent="0.2">
      <c r="A28" s="19">
        <f>'FERC Interest Rates'!A43</f>
        <v>42308</v>
      </c>
      <c r="B28" s="111">
        <v>4297977</v>
      </c>
      <c r="C28" s="111">
        <f>-10810+3997908</f>
        <v>3987098</v>
      </c>
      <c r="D28" s="111">
        <f>-10275+1402526</f>
        <v>1392251</v>
      </c>
      <c r="E28" s="112">
        <f t="shared" si="0"/>
        <v>9677326</v>
      </c>
      <c r="F28" s="89">
        <f>-10868+10868+11066</f>
        <v>11066</v>
      </c>
      <c r="G28" s="111">
        <f>-238237+238237+286826</f>
        <v>286826</v>
      </c>
      <c r="H28" s="112">
        <f t="shared" si="7"/>
        <v>297892</v>
      </c>
      <c r="I28" s="129">
        <f t="shared" si="8"/>
        <v>9975218</v>
      </c>
      <c r="J28" s="111">
        <f>-33527440-33218245+33530455+33218245+38814601+32479005</f>
        <v>71296621</v>
      </c>
      <c r="K28" s="132">
        <f t="shared" si="9"/>
        <v>81271839</v>
      </c>
      <c r="L28" s="139" t="s">
        <v>65</v>
      </c>
      <c r="M28" s="140">
        <f>6663969+403715+2529166+1980304+859837+1282479+714718+417143+1052339+327569-(6663969+400700+2529166+1980304+859837+1282479+714718+417143+1052339+327569)+7576528+445697+1221919+2731712+275052+1875869+854414+417872+1105719+323839</f>
        <v>16831636</v>
      </c>
      <c r="N28" s="112">
        <f t="shared" si="10"/>
        <v>54464985</v>
      </c>
      <c r="O28" s="112">
        <f t="shared" si="11"/>
        <v>64440203</v>
      </c>
      <c r="P28" s="111">
        <f>-400700+403715+445697</f>
        <v>448712</v>
      </c>
      <c r="Q28" s="136"/>
      <c r="R28" s="71"/>
    </row>
    <row r="29" spans="1:18" hidden="1" x14ac:dyDescent="0.2">
      <c r="A29" s="30">
        <f>'FERC Interest Rates'!A44</f>
        <v>42338</v>
      </c>
      <c r="B29" s="109">
        <v>7123102</v>
      </c>
      <c r="C29" s="107">
        <v>5044532</v>
      </c>
      <c r="D29" s="107">
        <v>935529</v>
      </c>
      <c r="E29" s="108">
        <f t="shared" ref="E29:E40" si="12">SUM(B29:D29)</f>
        <v>13103163</v>
      </c>
      <c r="F29" s="110">
        <f>-11066+11066+15659</f>
        <v>15659</v>
      </c>
      <c r="G29" s="107">
        <f>-286826+286826+424322</f>
        <v>424322</v>
      </c>
      <c r="H29" s="108">
        <f t="shared" ref="H29:H30" si="13">SUM(F29:G29)</f>
        <v>439981</v>
      </c>
      <c r="I29" s="131">
        <f t="shared" si="8"/>
        <v>13543144</v>
      </c>
      <c r="J29" s="110">
        <f>-38814601-32479005+38810516+32637068+38536211+36698347</f>
        <v>75388536</v>
      </c>
      <c r="K29" s="141">
        <f t="shared" si="9"/>
        <v>88931680</v>
      </c>
      <c r="L29" s="142" t="s">
        <v>65</v>
      </c>
      <c r="M29" s="144">
        <f>7576528+445697+1379982+2731712+275052+1875869+854414+417872+1105719+323839-(7576528+445697+1221919+2731712+275052+1875869+854414+417872+1105719+323839)+7257509+535022+4079051+3147933+331951+2441091+854240+492348+1032222+332415</f>
        <v>20661845</v>
      </c>
      <c r="N29" s="108">
        <f t="shared" si="10"/>
        <v>54726691</v>
      </c>
      <c r="O29" s="131">
        <f t="shared" si="11"/>
        <v>68269835</v>
      </c>
      <c r="P29" s="110">
        <f>-445697+445697+535022</f>
        <v>535022</v>
      </c>
      <c r="Q29" s="9"/>
      <c r="R29" s="73"/>
    </row>
    <row r="30" spans="1:18" hidden="1" x14ac:dyDescent="0.2">
      <c r="A30" s="30">
        <f>'FERC Interest Rates'!A45</f>
        <v>42369</v>
      </c>
      <c r="B30" s="26">
        <v>16299312</v>
      </c>
      <c r="C30" s="111">
        <v>11530090</v>
      </c>
      <c r="D30" s="111">
        <v>1360411</v>
      </c>
      <c r="E30" s="112">
        <f t="shared" si="12"/>
        <v>29189813</v>
      </c>
      <c r="F30" s="89">
        <f>-15659+406+272</f>
        <v>-14981</v>
      </c>
      <c r="G30" s="111">
        <f>-424322+424322+491485</f>
        <v>491485</v>
      </c>
      <c r="H30" s="112">
        <f t="shared" si="13"/>
        <v>476504</v>
      </c>
      <c r="I30" s="129">
        <f t="shared" si="8"/>
        <v>29666317</v>
      </c>
      <c r="J30" s="89">
        <f>-38536211-36698347+38694815+36698347+41166774+28548549</f>
        <v>69873927</v>
      </c>
      <c r="K30" s="132">
        <f t="shared" si="9"/>
        <v>99540244</v>
      </c>
      <c r="L30" s="139" t="s">
        <v>65</v>
      </c>
      <c r="M30" s="145">
        <f>7257509+535022+4079051+3147933+331951+2441091+854240+492348+1032222+332415-(7257509+535022+4079051+3147933+331951+2441091+854240+492348+1032222+332415)+7799801+310029+617027+3019366+119111+2902368+743768+421378+1099518+385043</f>
        <v>17417409</v>
      </c>
      <c r="N30" s="112">
        <f t="shared" si="10"/>
        <v>52456518</v>
      </c>
      <c r="O30" s="129">
        <f t="shared" si="11"/>
        <v>82122835</v>
      </c>
      <c r="P30" s="89">
        <f>-535022+535022+310029</f>
        <v>310029</v>
      </c>
      <c r="Q30" s="136"/>
      <c r="R30" s="71"/>
    </row>
    <row r="31" spans="1:18" hidden="1" x14ac:dyDescent="0.2">
      <c r="A31" s="30">
        <f>'FERC Interest Rates'!A46</f>
        <v>42400</v>
      </c>
      <c r="B31" s="26">
        <v>21787927</v>
      </c>
      <c r="C31" s="111">
        <v>15916106</v>
      </c>
      <c r="D31" s="111">
        <v>1722828</v>
      </c>
      <c r="E31" s="112">
        <f t="shared" si="12"/>
        <v>39426861</v>
      </c>
      <c r="F31" s="89">
        <f>-272+272+430</f>
        <v>430</v>
      </c>
      <c r="G31" s="111">
        <f>-491485+493418+490011</f>
        <v>491944</v>
      </c>
      <c r="H31" s="112">
        <f t="shared" ref="H31:H40" si="14">SUM(F31:G31)</f>
        <v>492374</v>
      </c>
      <c r="I31" s="129">
        <f t="shared" ref="I31:I40" si="15">E31+H31</f>
        <v>39919235</v>
      </c>
      <c r="J31" s="89">
        <f>-41166774-28548549+41165336+28548549+43905259+29123439</f>
        <v>73027260</v>
      </c>
      <c r="K31" s="132">
        <f t="shared" ref="K31:K36" si="16">I31+J31</f>
        <v>112946495</v>
      </c>
      <c r="L31" s="139" t="s">
        <v>65</v>
      </c>
      <c r="M31" s="145">
        <f>7799801+308591+617027+3019366+119111+2902368+743768+421378+1099518+385043-(7799801+310029+617027+3019366+119111+2902368+743768+421378+1099518+385043)+7443944+50651+1174934+3482503+527289+2988622+931500+534420+1182912+385329</f>
        <v>18700666</v>
      </c>
      <c r="N31" s="112">
        <f t="shared" ref="N31:N36" si="17">J31-M31</f>
        <v>54326594</v>
      </c>
      <c r="O31" s="129">
        <f t="shared" ref="O31:O40" si="18">K31-M31</f>
        <v>94245829</v>
      </c>
      <c r="P31" s="89">
        <f>-310029+308591+50651</f>
        <v>49213</v>
      </c>
      <c r="Q31" s="136"/>
      <c r="R31" s="71"/>
    </row>
    <row r="32" spans="1:18" hidden="1" x14ac:dyDescent="0.2">
      <c r="A32" s="30">
        <f>'FERC Interest Rates'!A47</f>
        <v>42429</v>
      </c>
      <c r="B32" s="26">
        <v>15744661</v>
      </c>
      <c r="C32" s="111">
        <v>11885158</v>
      </c>
      <c r="D32" s="111">
        <v>1421652</v>
      </c>
      <c r="E32" s="112">
        <f t="shared" si="12"/>
        <v>29051471</v>
      </c>
      <c r="F32" s="89">
        <f>-430+430+342</f>
        <v>342</v>
      </c>
      <c r="G32" s="111">
        <f>-490011+490011+401220</f>
        <v>401220</v>
      </c>
      <c r="H32" s="112">
        <f t="shared" si="14"/>
        <v>401562</v>
      </c>
      <c r="I32" s="129">
        <f t="shared" si="15"/>
        <v>29453033</v>
      </c>
      <c r="J32" s="89">
        <f>-43905259-29123439+43905259+29123439+37699124+25310382</f>
        <v>63009506</v>
      </c>
      <c r="K32" s="132">
        <f t="shared" si="16"/>
        <v>92462539</v>
      </c>
      <c r="L32" s="139" t="s">
        <v>65</v>
      </c>
      <c r="M32" s="145">
        <f>7443944+50651+1174934+3482503+527289+2988622+931500+534420+1182912+385329-(7443944+50651+1174934+3482503+527289+2988622+931500+534420+1182912+385329)+7867966+120221+2999775+431729+2308672+804013+515788+1073794+353753</f>
        <v>16475711</v>
      </c>
      <c r="N32" s="112">
        <f t="shared" si="17"/>
        <v>46533795</v>
      </c>
      <c r="O32" s="129">
        <f t="shared" si="18"/>
        <v>75986828</v>
      </c>
      <c r="P32" s="89">
        <f>-50651+50651</f>
        <v>0</v>
      </c>
      <c r="Q32" s="136"/>
      <c r="R32" s="71"/>
    </row>
    <row r="33" spans="1:18" hidden="1" x14ac:dyDescent="0.2">
      <c r="A33" s="30">
        <f>'FERC Interest Rates'!A48</f>
        <v>42460</v>
      </c>
      <c r="B33" s="26">
        <v>14256698</v>
      </c>
      <c r="C33" s="111">
        <v>10571037</v>
      </c>
      <c r="D33" s="111">
        <v>1579035</v>
      </c>
      <c r="E33" s="112">
        <f t="shared" si="12"/>
        <v>26406770</v>
      </c>
      <c r="F33" s="89">
        <f>-342+342+256</f>
        <v>256</v>
      </c>
      <c r="G33" s="111">
        <f>-401220+401220+399311</f>
        <v>399311</v>
      </c>
      <c r="H33" s="112">
        <f t="shared" si="14"/>
        <v>399567</v>
      </c>
      <c r="I33" s="129">
        <f t="shared" si="15"/>
        <v>26806337</v>
      </c>
      <c r="J33" s="89">
        <f>-37699124-25310382+37699124+25310382+34622082+12205754</f>
        <v>46827836</v>
      </c>
      <c r="K33" s="132">
        <f t="shared" si="16"/>
        <v>73634173</v>
      </c>
      <c r="L33" s="139" t="s">
        <v>65</v>
      </c>
      <c r="M33" s="145">
        <f>7867966+120221+2999775+431729+2308672+804013+515788+1073794+353753-(7867966+120221+2999775+431729+2308672+804013+515788+1073794+353753)+7271606+2914865+491690+2651138+639600+343195+1169931+479974</f>
        <v>15961999</v>
      </c>
      <c r="N33" s="112">
        <f t="shared" si="17"/>
        <v>30865837</v>
      </c>
      <c r="O33" s="129">
        <f t="shared" si="18"/>
        <v>57672174</v>
      </c>
      <c r="P33" s="89">
        <v>0</v>
      </c>
      <c r="Q33" s="136"/>
      <c r="R33" s="71"/>
    </row>
    <row r="34" spans="1:18" hidden="1" x14ac:dyDescent="0.2">
      <c r="A34" s="30">
        <f>'FERC Interest Rates'!A49</f>
        <v>42490</v>
      </c>
      <c r="B34" s="26">
        <v>9205504</v>
      </c>
      <c r="C34" s="111">
        <v>7116368</v>
      </c>
      <c r="D34" s="111">
        <v>1060027</v>
      </c>
      <c r="E34" s="112">
        <f t="shared" si="12"/>
        <v>17381899</v>
      </c>
      <c r="F34" s="89">
        <f>-256+256+238</f>
        <v>238</v>
      </c>
      <c r="G34" s="111">
        <f>-399311+399311+287800</f>
        <v>287800</v>
      </c>
      <c r="H34" s="112">
        <f t="shared" si="14"/>
        <v>288038</v>
      </c>
      <c r="I34" s="129">
        <f t="shared" si="15"/>
        <v>17669937</v>
      </c>
      <c r="J34" s="89">
        <f>-34622082-12205754+34629307+12205567+31673334+11051053</f>
        <v>42731425</v>
      </c>
      <c r="K34" s="132">
        <f t="shared" si="16"/>
        <v>60401362</v>
      </c>
      <c r="L34" s="139" t="s">
        <v>65</v>
      </c>
      <c r="M34" s="145">
        <f>7271606+-771+2914865+491690+2651138+639600+343195+1169931+479974-(7271606+2914865+491690+2651138+639600+343195+1169931+479974)+6851907+1935645+819902+2547720+180699+421534+1090163+487333</f>
        <v>14334132</v>
      </c>
      <c r="N34" s="112">
        <f t="shared" si="17"/>
        <v>28397293</v>
      </c>
      <c r="O34" s="129">
        <f t="shared" si="18"/>
        <v>46067230</v>
      </c>
      <c r="P34" s="89">
        <f>-771</f>
        <v>-771</v>
      </c>
      <c r="Q34" s="136"/>
      <c r="R34" s="71"/>
    </row>
    <row r="35" spans="1:18" hidden="1" x14ac:dyDescent="0.2">
      <c r="A35" s="30">
        <f>'FERC Interest Rates'!A50</f>
        <v>42521</v>
      </c>
      <c r="B35" s="26">
        <v>4937819</v>
      </c>
      <c r="C35" s="111">
        <v>4184525</v>
      </c>
      <c r="D35" s="111">
        <v>766236</v>
      </c>
      <c r="E35" s="112">
        <f t="shared" si="12"/>
        <v>9888580</v>
      </c>
      <c r="F35" s="89">
        <f>-238+238+223</f>
        <v>223</v>
      </c>
      <c r="G35" s="111">
        <f>-287800+287800+239257</f>
        <v>239257</v>
      </c>
      <c r="H35" s="112">
        <f t="shared" si="14"/>
        <v>239480</v>
      </c>
      <c r="I35" s="129">
        <f t="shared" si="15"/>
        <v>10128060</v>
      </c>
      <c r="J35" s="89">
        <f>-31673334-11051053+31673334+11051053+31280506+19976596</f>
        <v>51257102</v>
      </c>
      <c r="K35" s="132">
        <f t="shared" si="16"/>
        <v>61385162</v>
      </c>
      <c r="L35" s="139" t="s">
        <v>65</v>
      </c>
      <c r="M35" s="145">
        <f>6851907+1935645+819902+2547720+180699+421534+1090163+487333-(6851907+1935645+819902+2547720+180699+421534+1090163+487333)+6282405+121588+2358901+281708+2419712+391675+447431+1085521+483899</f>
        <v>13872840</v>
      </c>
      <c r="N35" s="112">
        <f t="shared" si="17"/>
        <v>37384262</v>
      </c>
      <c r="O35" s="48">
        <f t="shared" si="18"/>
        <v>47512322</v>
      </c>
      <c r="P35" s="89">
        <v>0</v>
      </c>
      <c r="Q35" s="136"/>
      <c r="R35" s="71"/>
    </row>
    <row r="36" spans="1:18" hidden="1" x14ac:dyDescent="0.2">
      <c r="A36" s="30">
        <f>'FERC Interest Rates'!A51</f>
        <v>42551</v>
      </c>
      <c r="B36" s="26">
        <v>4130248</v>
      </c>
      <c r="C36" s="111">
        <v>3716222</v>
      </c>
      <c r="D36" s="111">
        <v>829383</v>
      </c>
      <c r="E36" s="112">
        <f t="shared" si="12"/>
        <v>8675853</v>
      </c>
      <c r="F36" s="89">
        <f>-223+223+392</f>
        <v>392</v>
      </c>
      <c r="G36" s="111">
        <f>-239257+239257+195115</f>
        <v>195115</v>
      </c>
      <c r="H36" s="112">
        <f t="shared" si="14"/>
        <v>195507</v>
      </c>
      <c r="I36" s="129">
        <f t="shared" si="15"/>
        <v>8871360</v>
      </c>
      <c r="J36" s="89">
        <f>-31280506-19976596+31281578+19976409+31848110+24240240</f>
        <v>56089235</v>
      </c>
      <c r="K36" s="132">
        <f t="shared" si="16"/>
        <v>64960595</v>
      </c>
      <c r="L36" s="139" t="s">
        <v>65</v>
      </c>
      <c r="M36" s="145">
        <f>6282405+121588+2358901+281708+2419712+391675+447431+1085521+483899-(6282405+121588+2358901+281708+2419712+391675+447431+1085521+483899)+4670317+1494038+2250693+475886+2087130+443762+423575+1040712+263095</f>
        <v>13149208</v>
      </c>
      <c r="N36" s="112">
        <f t="shared" si="17"/>
        <v>42940027</v>
      </c>
      <c r="O36" s="48">
        <f t="shared" si="18"/>
        <v>51811387</v>
      </c>
      <c r="P36" s="89">
        <v>0</v>
      </c>
      <c r="Q36" s="136"/>
      <c r="R36" s="71"/>
    </row>
    <row r="37" spans="1:18" hidden="1" x14ac:dyDescent="0.2">
      <c r="A37" s="30">
        <f>'FERC Interest Rates'!A52</f>
        <v>42582</v>
      </c>
      <c r="B37" s="26">
        <v>3164014</v>
      </c>
      <c r="C37" s="111">
        <v>3100705</v>
      </c>
      <c r="D37" s="111">
        <v>619421</v>
      </c>
      <c r="E37" s="112">
        <f t="shared" si="12"/>
        <v>6884140</v>
      </c>
      <c r="F37" s="89">
        <f>-392+392</f>
        <v>0</v>
      </c>
      <c r="G37" s="111">
        <f>-195115+195115+228897</f>
        <v>228897</v>
      </c>
      <c r="H37" s="112">
        <f t="shared" si="14"/>
        <v>228897</v>
      </c>
      <c r="I37" s="129">
        <f t="shared" si="15"/>
        <v>7113037</v>
      </c>
      <c r="J37" s="89">
        <f>-31848110-24240240+31848110+24239315+34379688+31950816</f>
        <v>66329579</v>
      </c>
      <c r="K37" s="132">
        <f>I37+J37</f>
        <v>73442616</v>
      </c>
      <c r="L37" s="139" t="s">
        <v>65</v>
      </c>
      <c r="M37" s="145">
        <f>4670317+1494038+2250693+475886+2087130+443762+423575+1040712+263095-(4670317+1494038+2250693+475886+2087130+443762+423575+1040712+263095)+6386347+2552281+2676582+779965+2327217+516534+264558+1105831</f>
        <v>16609315</v>
      </c>
      <c r="N37" s="112">
        <f>J37-M37</f>
        <v>49720264</v>
      </c>
      <c r="O37" s="48">
        <f t="shared" si="18"/>
        <v>56833301</v>
      </c>
      <c r="P37" s="89">
        <v>0</v>
      </c>
      <c r="Q37" s="136"/>
      <c r="R37" s="71"/>
    </row>
    <row r="38" spans="1:18" hidden="1" x14ac:dyDescent="0.2">
      <c r="A38" s="30">
        <f>'FERC Interest Rates'!A53</f>
        <v>42613</v>
      </c>
      <c r="B38" s="26">
        <v>2693650</v>
      </c>
      <c r="C38" s="111">
        <v>2827136</v>
      </c>
      <c r="D38" s="111">
        <v>833412</v>
      </c>
      <c r="E38" s="112">
        <f t="shared" si="12"/>
        <v>6354198</v>
      </c>
      <c r="F38" s="89">
        <f>0+473-0</f>
        <v>473</v>
      </c>
      <c r="G38" s="111">
        <f>228897+179539-228897</f>
        <v>179539</v>
      </c>
      <c r="H38" s="112">
        <f t="shared" si="14"/>
        <v>180012</v>
      </c>
      <c r="I38" s="129">
        <f t="shared" si="15"/>
        <v>6534210</v>
      </c>
      <c r="J38" s="89">
        <f>34379688+31950816+33965986+48674653-34379688-31950816</f>
        <v>82640639</v>
      </c>
      <c r="K38" s="132">
        <f t="shared" ref="K38:K40" si="19">I38+J38</f>
        <v>89174849</v>
      </c>
      <c r="L38" s="139" t="s">
        <v>65</v>
      </c>
      <c r="M38" s="145">
        <f>0+2676582+2327217+516534+264558+1105831+6386347+2552281+0+779965+0+2039021+2178765+777543+401313+1077422+7464379+7191370+0+1729358-0-2676582-2327217-516534-264558-1105831-6386347-2552281-0-779965</f>
        <v>22859171</v>
      </c>
      <c r="N38" s="112">
        <f t="shared" ref="N38:N40" si="20">J38-M38</f>
        <v>59781468</v>
      </c>
      <c r="O38" s="48">
        <f t="shared" si="18"/>
        <v>66315678</v>
      </c>
      <c r="P38" s="89">
        <v>0</v>
      </c>
      <c r="Q38" s="136"/>
      <c r="R38" s="71"/>
    </row>
    <row r="39" spans="1:18" hidden="1" x14ac:dyDescent="0.2">
      <c r="A39" s="30">
        <f>'FERC Interest Rates'!A54</f>
        <v>42643</v>
      </c>
      <c r="B39" s="26">
        <v>2961359</v>
      </c>
      <c r="C39" s="111">
        <v>3113107</v>
      </c>
      <c r="D39" s="111">
        <v>886709</v>
      </c>
      <c r="E39" s="112">
        <f t="shared" si="12"/>
        <v>6961175</v>
      </c>
      <c r="F39" s="89">
        <f>473+407-473</f>
        <v>407</v>
      </c>
      <c r="G39" s="111">
        <f>179539+232998-179539</f>
        <v>232998</v>
      </c>
      <c r="H39" s="112">
        <f t="shared" si="14"/>
        <v>233405</v>
      </c>
      <c r="I39" s="129">
        <f t="shared" si="15"/>
        <v>7194580</v>
      </c>
      <c r="J39" s="89">
        <f>33919265+49297316+37406526+29200560-33965986-48674653</f>
        <v>67183028</v>
      </c>
      <c r="K39" s="132">
        <f t="shared" si="19"/>
        <v>74377608</v>
      </c>
      <c r="L39" s="139" t="s">
        <v>65</v>
      </c>
      <c r="M39" s="145">
        <f>0+2039021+2178765+777543+401313+1077422+7464379+7814033+0+1729358+2577629+2243785+699246+442989+1066817+7289540+1760357+0+780450-0-2039021-2178765-777543-401313-1077422-7464379-7191370-0-1729358</f>
        <v>17483476</v>
      </c>
      <c r="N39" s="112">
        <f t="shared" si="20"/>
        <v>49699552</v>
      </c>
      <c r="O39" s="48">
        <f t="shared" si="18"/>
        <v>56894132</v>
      </c>
      <c r="P39" s="89">
        <v>0</v>
      </c>
      <c r="Q39" s="136"/>
      <c r="R39" s="71"/>
    </row>
    <row r="40" spans="1:18" hidden="1" x14ac:dyDescent="0.2">
      <c r="A40" s="138">
        <f>'FERC Interest Rates'!A55</f>
        <v>42674</v>
      </c>
      <c r="B40" s="29">
        <v>4470556</v>
      </c>
      <c r="C40" s="28">
        <v>3871269</v>
      </c>
      <c r="D40" s="28">
        <v>1333607</v>
      </c>
      <c r="E40" s="47">
        <f t="shared" si="12"/>
        <v>9675432</v>
      </c>
      <c r="F40" s="55">
        <f>407+0-407</f>
        <v>0</v>
      </c>
      <c r="G40" s="28">
        <f>232998+329121-232998</f>
        <v>329121</v>
      </c>
      <c r="H40" s="47">
        <f t="shared" si="14"/>
        <v>329121</v>
      </c>
      <c r="I40" s="130">
        <f t="shared" si="15"/>
        <v>10004553</v>
      </c>
      <c r="J40" s="55">
        <f>37436629+29200560+40991039+12399810-37406526-29200560</f>
        <v>53420952</v>
      </c>
      <c r="K40" s="133">
        <f t="shared" si="19"/>
        <v>63425505</v>
      </c>
      <c r="L40" s="22" t="s">
        <v>65</v>
      </c>
      <c r="M40" s="55">
        <f>0+2577629+2243785+699246+442989+1066817+7289540+1760357+0+780450+2445024+2841352+886699+419709+1178128+7402535+478644+0+313524-2577629-2243785-699246-442989-1066817-7289540-1760357-0-780450</f>
        <v>15965615</v>
      </c>
      <c r="N40" s="47">
        <f t="shared" si="20"/>
        <v>37455337</v>
      </c>
      <c r="O40" s="49">
        <f t="shared" si="18"/>
        <v>47459890</v>
      </c>
      <c r="P40" s="55">
        <v>0</v>
      </c>
      <c r="Q40" s="137"/>
      <c r="R40" s="72"/>
    </row>
    <row r="41" spans="1:18" hidden="1" x14ac:dyDescent="0.2">
      <c r="A41" s="30">
        <f>'FERC Interest Rates'!A56</f>
        <v>42704</v>
      </c>
      <c r="B41" s="25">
        <v>7460324</v>
      </c>
      <c r="C41" s="25">
        <v>5520631</v>
      </c>
      <c r="D41" s="25">
        <v>1187068</v>
      </c>
      <c r="E41" s="46">
        <f t="shared" ref="E41:E76" si="21">SUM(B41:D41)</f>
        <v>14168023</v>
      </c>
      <c r="F41" s="89">
        <f>0+42-0</f>
        <v>42</v>
      </c>
      <c r="G41" s="25">
        <f>329121+378144-329121</f>
        <v>378144</v>
      </c>
      <c r="H41" s="46">
        <f t="shared" ref="H41:H48" si="22">SUM(F41:G41)</f>
        <v>378186</v>
      </c>
      <c r="I41" s="129">
        <f t="shared" ref="I41:I48" si="23">E41+H41</f>
        <v>14546209</v>
      </c>
      <c r="J41" s="110">
        <f>40991039+12399810+38429818+15166485-40991039-12399810</f>
        <v>53596303</v>
      </c>
      <c r="K41" s="132">
        <f t="shared" ref="K41:K48" si="24">I41+J41</f>
        <v>68142512</v>
      </c>
      <c r="L41" s="21" t="s">
        <v>65</v>
      </c>
      <c r="M41" s="145">
        <f>2445024+2841352+886699+419709+1178128+7402535+478644+0+313524+3062402+2411553+783701+387194+1099884+7955874+499335+0+582580-2445024-2841352-886699-419709-1178128-7402535-478644-0-313524</f>
        <v>16782523</v>
      </c>
      <c r="N41" s="46">
        <f t="shared" ref="N41:N48" si="25">J41-M41</f>
        <v>36813780</v>
      </c>
      <c r="O41" s="48">
        <f t="shared" ref="O41:O48" si="26">K41-M41</f>
        <v>51359989</v>
      </c>
      <c r="P41" s="89">
        <v>0</v>
      </c>
      <c r="Q41" s="136"/>
      <c r="R41" s="71"/>
    </row>
    <row r="42" spans="1:18" hidden="1" x14ac:dyDescent="0.2">
      <c r="A42" s="30">
        <f>'FERC Interest Rates'!A57</f>
        <v>42735</v>
      </c>
      <c r="B42" s="25">
        <v>16023779</v>
      </c>
      <c r="C42" s="25">
        <v>11191376</v>
      </c>
      <c r="D42" s="25">
        <v>1548255</v>
      </c>
      <c r="E42" s="46">
        <f t="shared" si="21"/>
        <v>28763410</v>
      </c>
      <c r="F42" s="89">
        <f>42+302-42</f>
        <v>302</v>
      </c>
      <c r="G42" s="25">
        <f>378144+556857-378144</f>
        <v>556857</v>
      </c>
      <c r="H42" s="46">
        <f t="shared" si="22"/>
        <v>557159</v>
      </c>
      <c r="I42" s="129">
        <f t="shared" si="23"/>
        <v>29320569</v>
      </c>
      <c r="J42" s="89">
        <f>38433704+15166485+43025638+24999610-38429818-15166485</f>
        <v>68029134</v>
      </c>
      <c r="K42" s="132">
        <f t="shared" si="24"/>
        <v>97349703</v>
      </c>
      <c r="L42" s="21" t="s">
        <v>65</v>
      </c>
      <c r="M42" s="145">
        <f>3062402+2411553+783701+387194+1099884+7955874+499335+0+582580+3926790+2425780+887524+491709+1204691+7418771+3385699+0+962334-3062402-2411553-783701-387194-1099884-7955874-499335-0-582580</f>
        <v>20703298</v>
      </c>
      <c r="N42" s="46">
        <f t="shared" si="25"/>
        <v>47325836</v>
      </c>
      <c r="O42" s="48">
        <f t="shared" si="26"/>
        <v>76646405</v>
      </c>
      <c r="P42" s="89">
        <v>0</v>
      </c>
      <c r="Q42" s="136"/>
      <c r="R42" s="71"/>
    </row>
    <row r="43" spans="1:18" hidden="1" x14ac:dyDescent="0.2">
      <c r="A43" s="30">
        <f>'FERC Interest Rates'!A58</f>
        <v>42766</v>
      </c>
      <c r="B43" s="25">
        <v>27190532</v>
      </c>
      <c r="C43" s="25">
        <v>20214298</v>
      </c>
      <c r="D43" s="25">
        <v>2077956</v>
      </c>
      <c r="E43" s="46">
        <f t="shared" si="21"/>
        <v>49482786</v>
      </c>
      <c r="F43" s="89">
        <f>302+306-302</f>
        <v>306</v>
      </c>
      <c r="G43" s="25">
        <f>556857+587884-556857</f>
        <v>587884</v>
      </c>
      <c r="H43" s="46">
        <f t="shared" si="22"/>
        <v>588190</v>
      </c>
      <c r="I43" s="129">
        <f t="shared" si="23"/>
        <v>50070976</v>
      </c>
      <c r="J43" s="89">
        <f>43032177+24999610+45464690+23263838-43025638-24999610</f>
        <v>68735067</v>
      </c>
      <c r="K43" s="132">
        <f t="shared" si="24"/>
        <v>118806043</v>
      </c>
      <c r="L43" s="21" t="s">
        <v>65</v>
      </c>
      <c r="M43" s="145">
        <f>3926790+2425780+887524+491709+1204691+7418771+3385699+0+962334+3484534+3336577+962939+597166+1201150+7537049+2120545+0+1281418-3926790-2425780-887524-491709-1204691-7418771-3385699-0-962334</f>
        <v>20521378</v>
      </c>
      <c r="N43" s="46">
        <f t="shared" si="25"/>
        <v>48213689</v>
      </c>
      <c r="O43" s="48">
        <f t="shared" si="26"/>
        <v>98284665</v>
      </c>
      <c r="P43" s="89">
        <v>0</v>
      </c>
      <c r="Q43" s="136"/>
      <c r="R43" s="71"/>
    </row>
    <row r="44" spans="1:18" hidden="1" x14ac:dyDescent="0.2">
      <c r="A44" s="30">
        <f>'FERC Interest Rates'!A59</f>
        <v>42794</v>
      </c>
      <c r="B44" s="25">
        <v>20884784</v>
      </c>
      <c r="C44" s="25">
        <v>16301402</v>
      </c>
      <c r="D44" s="25">
        <v>1709089</v>
      </c>
      <c r="E44" s="46">
        <f t="shared" si="21"/>
        <v>38895275</v>
      </c>
      <c r="F44" s="89">
        <f>306+0-306</f>
        <v>0</v>
      </c>
      <c r="G44" s="25">
        <f>587884+461836-587884</f>
        <v>461836</v>
      </c>
      <c r="H44" s="46">
        <f t="shared" si="22"/>
        <v>461836</v>
      </c>
      <c r="I44" s="129">
        <f t="shared" si="23"/>
        <v>39357111</v>
      </c>
      <c r="J44" s="89">
        <f>45464690+23263838+37268027+17694147-45464690-23263838</f>
        <v>54962174</v>
      </c>
      <c r="K44" s="132">
        <f t="shared" si="24"/>
        <v>94319285</v>
      </c>
      <c r="L44" s="21" t="s">
        <v>65</v>
      </c>
      <c r="M44" s="145">
        <f>3484534+3336577+962939+597166+1201150+7537049+2120545+0+1281418+2000676+2870154+833388+466554+1050982+8259193+371595+0+989453-3484534-3336577-962939-597166-1201150-7537049-2120545-0-1281418</f>
        <v>16841995</v>
      </c>
      <c r="N44" s="46">
        <f t="shared" si="25"/>
        <v>38120179</v>
      </c>
      <c r="O44" s="48">
        <f t="shared" si="26"/>
        <v>77477290</v>
      </c>
      <c r="P44" s="89">
        <v>0</v>
      </c>
      <c r="Q44" s="136"/>
      <c r="R44" s="71"/>
    </row>
    <row r="45" spans="1:18" hidden="1" x14ac:dyDescent="0.2">
      <c r="A45" s="30">
        <f>'FERC Interest Rates'!A60</f>
        <v>42825</v>
      </c>
      <c r="B45" s="25">
        <v>19202444</v>
      </c>
      <c r="C45" s="25">
        <v>14510217</v>
      </c>
      <c r="D45" s="25">
        <v>1905197</v>
      </c>
      <c r="E45" s="46">
        <f t="shared" si="21"/>
        <v>35617858</v>
      </c>
      <c r="F45" s="89">
        <v>0</v>
      </c>
      <c r="G45" s="25">
        <f>461836+254557-461836</f>
        <v>254557</v>
      </c>
      <c r="H45" s="46">
        <f t="shared" si="22"/>
        <v>254557</v>
      </c>
      <c r="I45" s="129">
        <f t="shared" si="23"/>
        <v>35872415</v>
      </c>
      <c r="J45" s="89">
        <f>37268027+17694147+37953585+16518243-37268027-17694147</f>
        <v>54471828</v>
      </c>
      <c r="K45" s="132">
        <f t="shared" si="24"/>
        <v>90344243</v>
      </c>
      <c r="L45" s="21" t="s">
        <v>65</v>
      </c>
      <c r="M45" s="145">
        <f>2000676+2870154+833388+466554+1050982+8259193+371595+0+989453+1114837+2218389+884624+518572+1157347+8127230+0+0+2016355-2000676-2870154-833388-466554-1050982-8259193-371595-0-989453</f>
        <v>16037354</v>
      </c>
      <c r="N45" s="46">
        <f t="shared" si="25"/>
        <v>38434474</v>
      </c>
      <c r="O45" s="48">
        <f t="shared" si="26"/>
        <v>74306889</v>
      </c>
      <c r="P45" s="89">
        <v>0</v>
      </c>
      <c r="Q45" s="136"/>
      <c r="R45" s="71"/>
    </row>
    <row r="46" spans="1:18" hidden="1" x14ac:dyDescent="0.2">
      <c r="A46" s="30">
        <f>'FERC Interest Rates'!A61</f>
        <v>42855</v>
      </c>
      <c r="B46" s="25">
        <v>11408371</v>
      </c>
      <c r="C46" s="25">
        <v>8565387</v>
      </c>
      <c r="D46" s="25">
        <v>1187261</v>
      </c>
      <c r="E46" s="46">
        <f t="shared" si="21"/>
        <v>21161019</v>
      </c>
      <c r="F46" s="89">
        <v>0</v>
      </c>
      <c r="G46" s="25">
        <f>254557+215195-254557</f>
        <v>215195</v>
      </c>
      <c r="H46" s="46">
        <f t="shared" si="22"/>
        <v>215195</v>
      </c>
      <c r="I46" s="129">
        <f t="shared" si="23"/>
        <v>21376214</v>
      </c>
      <c r="J46" s="89">
        <f>37981777+16520502+33008626+19200909-37953585-16518243</f>
        <v>52239986</v>
      </c>
      <c r="K46" s="132">
        <f t="shared" si="24"/>
        <v>73616200</v>
      </c>
      <c r="L46" s="21" t="s">
        <v>65</v>
      </c>
      <c r="M46" s="145">
        <f>1114837+2218389+884624+518572+1157347+8127230+0+0+2016355+2338365+2019393+694319+408263+1102654+6745703+0+0+2347790-1114837-2218389-884624-518572-1157347-8127230-0-0-2016355</f>
        <v>15656487</v>
      </c>
      <c r="N46" s="46">
        <f t="shared" si="25"/>
        <v>36583499</v>
      </c>
      <c r="O46" s="48">
        <f t="shared" si="26"/>
        <v>57959713</v>
      </c>
      <c r="P46" s="89">
        <v>0</v>
      </c>
      <c r="Q46" s="136"/>
      <c r="R46" s="71"/>
    </row>
    <row r="47" spans="1:18" hidden="1" x14ac:dyDescent="0.2">
      <c r="A47" s="30">
        <f>'FERC Interest Rates'!A62</f>
        <v>42886</v>
      </c>
      <c r="B47" s="25">
        <v>8224421</v>
      </c>
      <c r="C47" s="25">
        <v>6567715</v>
      </c>
      <c r="D47" s="25">
        <v>1017214</v>
      </c>
      <c r="E47" s="46">
        <f t="shared" si="21"/>
        <v>15809350</v>
      </c>
      <c r="F47" s="89">
        <v>0</v>
      </c>
      <c r="G47" s="25">
        <f>215195+163812-215195</f>
        <v>163812</v>
      </c>
      <c r="H47" s="46">
        <f t="shared" si="22"/>
        <v>163812</v>
      </c>
      <c r="I47" s="129">
        <f t="shared" si="23"/>
        <v>15973162</v>
      </c>
      <c r="J47" s="89">
        <f>33008626+19200909+32434391+10035547-33008626-19200909</f>
        <v>42469938</v>
      </c>
      <c r="K47" s="132">
        <f t="shared" si="24"/>
        <v>58443100</v>
      </c>
      <c r="L47" s="21" t="s">
        <v>65</v>
      </c>
      <c r="M47" s="145">
        <f>2338365+2019393+694319+408263+1102654+6745703+0+0+2347790+1936209+1949500+809100+542182+1061819+5660151+204038+0+2064599-2338365-2019393-694319-408263-1102654-6745703-0-0-2347790</f>
        <v>14227598</v>
      </c>
      <c r="N47" s="46">
        <f t="shared" si="25"/>
        <v>28242340</v>
      </c>
      <c r="O47" s="48">
        <f t="shared" si="26"/>
        <v>44215502</v>
      </c>
      <c r="P47" s="89">
        <v>0</v>
      </c>
      <c r="Q47" s="136"/>
      <c r="R47" s="71"/>
    </row>
    <row r="48" spans="1:18" hidden="1" x14ac:dyDescent="0.2">
      <c r="A48" s="30">
        <f>'FERC Interest Rates'!A63</f>
        <v>42916</v>
      </c>
      <c r="B48" s="25">
        <v>4796437</v>
      </c>
      <c r="C48" s="25">
        <v>4561620</v>
      </c>
      <c r="D48" s="25">
        <v>969855</v>
      </c>
      <c r="E48" s="46">
        <f t="shared" si="21"/>
        <v>10327912</v>
      </c>
      <c r="F48" s="89">
        <v>0</v>
      </c>
      <c r="G48" s="25">
        <f>163812+116861-163812</f>
        <v>116861</v>
      </c>
      <c r="H48" s="46">
        <f t="shared" si="22"/>
        <v>116861</v>
      </c>
      <c r="I48" s="129">
        <f t="shared" si="23"/>
        <v>10444773</v>
      </c>
      <c r="J48" s="89">
        <f>32434391+10035547+34063374+9524292-32434391-10035547</f>
        <v>43587666</v>
      </c>
      <c r="K48" s="132">
        <f t="shared" si="24"/>
        <v>54032439</v>
      </c>
      <c r="L48" s="21" t="s">
        <v>65</v>
      </c>
      <c r="M48" s="145">
        <f>1936209+1949500+809100+542182+1061819+5660151+204038+0+2064599+1983194+1913414+847781+379371+1018577+5851796+510074+0+1740127-1936209-1949500-809100-542182-1061819-5660151-204038-0-2064599</f>
        <v>14244334</v>
      </c>
      <c r="N48" s="46">
        <f t="shared" si="25"/>
        <v>29343332</v>
      </c>
      <c r="O48" s="48">
        <f t="shared" si="26"/>
        <v>39788105</v>
      </c>
      <c r="P48" s="89">
        <v>0</v>
      </c>
      <c r="Q48" s="136"/>
      <c r="R48" s="71"/>
    </row>
    <row r="49" spans="1:19" hidden="1" x14ac:dyDescent="0.2">
      <c r="A49" s="30">
        <f>'FERC Interest Rates'!A64</f>
        <v>42947</v>
      </c>
      <c r="B49" s="25">
        <v>2971109</v>
      </c>
      <c r="C49" s="25">
        <v>3057015</v>
      </c>
      <c r="D49" s="25">
        <v>669283</v>
      </c>
      <c r="E49" s="46">
        <f t="shared" si="21"/>
        <v>6697407</v>
      </c>
      <c r="F49" s="89">
        <v>0</v>
      </c>
      <c r="G49" s="25">
        <f>119628+110174-116861</f>
        <v>112941</v>
      </c>
      <c r="H49" s="46">
        <f t="shared" ref="H49:H52" si="27">SUM(F49:G49)</f>
        <v>112941</v>
      </c>
      <c r="I49" s="129">
        <f t="shared" ref="I49:I52" si="28">E49+H49</f>
        <v>6810348</v>
      </c>
      <c r="J49" s="89">
        <f>35353105+10380515+32150027+28096283-34063374-9524292</f>
        <v>62392264</v>
      </c>
      <c r="K49" s="132">
        <f t="shared" ref="K49:K52" si="29">I49+J49</f>
        <v>69202612</v>
      </c>
      <c r="L49" s="21" t="s">
        <v>65</v>
      </c>
      <c r="M49" s="145">
        <f>2041936+1942640+865737+393826+1044006+6339130+521149+1899989+2109495+2030833+733233+382876+1043846+5871056+3799320+0+173422-1983194-1913414-847781-379371-1018577-5851796-510074-0-1740127</f>
        <v>16948160</v>
      </c>
      <c r="N49" s="46">
        <f t="shared" ref="N49:N52" si="30">J49-M49</f>
        <v>45444104</v>
      </c>
      <c r="O49" s="48">
        <f t="shared" ref="O49:O52" si="31">K49-M49</f>
        <v>52254452</v>
      </c>
      <c r="P49" s="89">
        <v>0</v>
      </c>
      <c r="Q49" s="136"/>
      <c r="R49" s="71"/>
    </row>
    <row r="50" spans="1:19" hidden="1" x14ac:dyDescent="0.2">
      <c r="A50" s="30">
        <f>'FERC Interest Rates'!A65</f>
        <v>42978</v>
      </c>
      <c r="B50" s="25">
        <v>2722316</v>
      </c>
      <c r="C50" s="25">
        <v>3053970</v>
      </c>
      <c r="D50" s="25">
        <v>907798</v>
      </c>
      <c r="E50" s="46">
        <f t="shared" si="21"/>
        <v>6684084</v>
      </c>
      <c r="F50" s="89">
        <v>0</v>
      </c>
      <c r="G50" s="25">
        <f>110174+103640-110174</f>
        <v>103640</v>
      </c>
      <c r="H50" s="46">
        <f t="shared" si="27"/>
        <v>103640</v>
      </c>
      <c r="I50" s="129">
        <f t="shared" si="28"/>
        <v>6787724</v>
      </c>
      <c r="J50" s="89">
        <f>32174046+28097391+34124815+35723720-32150027-28096283</f>
        <v>69873662</v>
      </c>
      <c r="K50" s="132">
        <f t="shared" si="29"/>
        <v>76661386</v>
      </c>
      <c r="L50" s="21" t="s">
        <v>65</v>
      </c>
      <c r="M50" s="145">
        <f>2109495+2030833+733233+382876+1043846+5871056+3799320+0+173422+2147341+1590458+777249+405347+1032367+7019686+5645286+0+434753-2109495-2030833-733233-382876-1043846-5871056-3799320-0-173422</f>
        <v>19052487</v>
      </c>
      <c r="N50" s="46">
        <f t="shared" si="30"/>
        <v>50821175</v>
      </c>
      <c r="O50" s="48">
        <f t="shared" si="31"/>
        <v>57608899</v>
      </c>
      <c r="P50" s="89">
        <v>0</v>
      </c>
      <c r="Q50" s="136"/>
      <c r="R50" s="71"/>
    </row>
    <row r="51" spans="1:19" hidden="1" x14ac:dyDescent="0.2">
      <c r="A51" s="30">
        <f>'FERC Interest Rates'!A66</f>
        <v>43008</v>
      </c>
      <c r="B51" s="111">
        <v>2576731</v>
      </c>
      <c r="C51" s="111">
        <v>2907438</v>
      </c>
      <c r="D51" s="111">
        <v>832457</v>
      </c>
      <c r="E51" s="112">
        <f t="shared" si="21"/>
        <v>6316626</v>
      </c>
      <c r="F51" s="89">
        <v>0</v>
      </c>
      <c r="G51" s="111">
        <f>103640+112511-103640</f>
        <v>112511</v>
      </c>
      <c r="H51" s="112">
        <f t="shared" si="27"/>
        <v>112511</v>
      </c>
      <c r="I51" s="129">
        <f t="shared" si="28"/>
        <v>6429137</v>
      </c>
      <c r="J51" s="89">
        <f>34127073+35721462+35117309+28556525-34124815-35723720</f>
        <v>63673834</v>
      </c>
      <c r="K51" s="132">
        <f t="shared" si="29"/>
        <v>70102971</v>
      </c>
      <c r="L51" s="139" t="s">
        <v>65</v>
      </c>
      <c r="M51" s="145">
        <f>2147341+1590458+777249+405347+1032367+7019686+5645286+0+434753+2276659+2023342+747958+372413+983101+6808000+1690168+0+80516-2147341-1590458-777249-405347-1032367-7019686-5645286-0-434753</f>
        <v>14982157</v>
      </c>
      <c r="N51" s="112">
        <f t="shared" si="30"/>
        <v>48691677</v>
      </c>
      <c r="O51" s="48">
        <f t="shared" si="31"/>
        <v>55120814</v>
      </c>
      <c r="P51" s="89">
        <v>0</v>
      </c>
      <c r="Q51" s="136"/>
      <c r="R51" s="71"/>
    </row>
    <row r="52" spans="1:19" hidden="1" x14ac:dyDescent="0.2">
      <c r="A52" s="19">
        <f>'FERC Interest Rates'!A67</f>
        <v>43039</v>
      </c>
      <c r="B52" s="28">
        <v>5100019</v>
      </c>
      <c r="C52" s="28">
        <f>4572157+449</f>
        <v>4572606</v>
      </c>
      <c r="D52" s="28">
        <v>1530746</v>
      </c>
      <c r="E52" s="47">
        <f t="shared" si="21"/>
        <v>11203371</v>
      </c>
      <c r="F52" s="55">
        <v>555</v>
      </c>
      <c r="G52" s="28">
        <f>112511+209141-112511</f>
        <v>209141</v>
      </c>
      <c r="H52" s="47">
        <f t="shared" si="27"/>
        <v>209696</v>
      </c>
      <c r="I52" s="130">
        <f t="shared" si="28"/>
        <v>11413067</v>
      </c>
      <c r="J52" s="55">
        <f>35117309+28556525+39983871+25034069-35117309-28556525</f>
        <v>65017940</v>
      </c>
      <c r="K52" s="133">
        <f t="shared" si="29"/>
        <v>76431007</v>
      </c>
      <c r="L52" s="22" t="s">
        <v>65</v>
      </c>
      <c r="M52" s="55">
        <f>2276659+2023342+747958+372413+983101+6808000+1690168+0+80516+2852203+2417482+802269+501609+1023937+4575090+58490+0+29311-2276659-2023342-747958-372413-983101-6808000-1690168-0-80516</f>
        <v>12260391</v>
      </c>
      <c r="N52" s="47">
        <f t="shared" si="30"/>
        <v>52757549</v>
      </c>
      <c r="O52" s="49">
        <f t="shared" si="31"/>
        <v>64170616</v>
      </c>
      <c r="P52" s="55">
        <v>0</v>
      </c>
      <c r="Q52" s="137"/>
      <c r="R52" s="72"/>
    </row>
    <row r="53" spans="1:19" hidden="1" x14ac:dyDescent="0.2">
      <c r="A53" s="30">
        <f>'FERC Interest Rates'!A68</f>
        <v>43069</v>
      </c>
      <c r="B53" s="25">
        <v>10497863</v>
      </c>
      <c r="C53" s="25">
        <f>7823395+1372-449</f>
        <v>7824318</v>
      </c>
      <c r="D53" s="25">
        <v>1278888</v>
      </c>
      <c r="E53" s="46">
        <f t="shared" si="21"/>
        <v>19601069</v>
      </c>
      <c r="F53" s="89">
        <f>555+372-555</f>
        <v>372</v>
      </c>
      <c r="G53" s="25">
        <f>209141+229655-209141</f>
        <v>229655</v>
      </c>
      <c r="H53" s="46">
        <f t="shared" ref="H53:H64" si="32">SUM(F53:G53)</f>
        <v>230027</v>
      </c>
      <c r="I53" s="129">
        <f t="shared" ref="I53:I64" si="33">E53+H53</f>
        <v>19831096</v>
      </c>
      <c r="J53" s="89">
        <f>39983871+25034069+39459711+17526517-39983871-25034069</f>
        <v>56986228</v>
      </c>
      <c r="K53" s="132">
        <f t="shared" ref="K53:K76" si="34">I53+J53</f>
        <v>76817324</v>
      </c>
      <c r="L53" s="21" t="s">
        <v>65</v>
      </c>
      <c r="M53" s="145">
        <f>2852203+2417482+802269+501609+1023937+4575090+58490+0+29311+2878277+2587998+757035+433259+959885+6077171+1751978+0+560788-2852203-2417482-802269-501609-1023937-4575090-58490-0-29311</f>
        <v>16006391</v>
      </c>
      <c r="N53" s="46">
        <f t="shared" ref="N53:N64" si="35">J53-M53</f>
        <v>40979837</v>
      </c>
      <c r="O53" s="48">
        <f t="shared" ref="O53:O64" si="36">K53-M53</f>
        <v>60810933</v>
      </c>
      <c r="P53" s="89">
        <v>0</v>
      </c>
      <c r="Q53" s="136"/>
      <c r="R53" s="71"/>
      <c r="S53" s="1" t="s">
        <v>146</v>
      </c>
    </row>
    <row r="54" spans="1:19" hidden="1" x14ac:dyDescent="0.2">
      <c r="A54" s="30">
        <f>'FERC Interest Rates'!A69</f>
        <v>43100</v>
      </c>
      <c r="B54" s="25">
        <v>16164227</v>
      </c>
      <c r="C54" s="25">
        <f>11939622+2767-1372</f>
        <v>11941017</v>
      </c>
      <c r="D54" s="25">
        <v>1609946</v>
      </c>
      <c r="E54" s="46">
        <f t="shared" si="21"/>
        <v>29715190</v>
      </c>
      <c r="F54" s="89">
        <f>372+417-372</f>
        <v>417</v>
      </c>
      <c r="G54" s="25">
        <f>229655+258064-229655</f>
        <v>258064</v>
      </c>
      <c r="H54" s="46">
        <f t="shared" si="32"/>
        <v>258481</v>
      </c>
      <c r="I54" s="129">
        <f t="shared" si="33"/>
        <v>29973671</v>
      </c>
      <c r="J54" s="89">
        <f>39459711+17526517+41915890+25317310-39459711-17526517</f>
        <v>67233200</v>
      </c>
      <c r="K54" s="132">
        <f t="shared" si="34"/>
        <v>97206871</v>
      </c>
      <c r="L54" s="21" t="s">
        <v>65</v>
      </c>
      <c r="M54" s="145">
        <f>2878277+2587998+757035+433259+959885+6077171+1751978+0+560788+3051191+2729250+726643+680640+1123009+7340017+2258956+0+423046-2878277-2587998-757035-433259-959885-6077171-1751978-0-560788</f>
        <v>18332752</v>
      </c>
      <c r="N54" s="46">
        <f t="shared" si="35"/>
        <v>48900448</v>
      </c>
      <c r="O54" s="48">
        <f t="shared" si="36"/>
        <v>78874119</v>
      </c>
      <c r="P54" s="89">
        <v>0</v>
      </c>
      <c r="Q54" s="136"/>
      <c r="R54" s="71"/>
    </row>
    <row r="55" spans="1:19" hidden="1" x14ac:dyDescent="0.2">
      <c r="A55" s="30">
        <f>'FERC Interest Rates'!A70</f>
        <v>43131</v>
      </c>
      <c r="B55" s="25">
        <v>22610497</v>
      </c>
      <c r="C55" s="25">
        <f>16792784+4356-2767</f>
        <v>16794373</v>
      </c>
      <c r="D55" s="25">
        <v>1908527</v>
      </c>
      <c r="E55" s="46">
        <f t="shared" si="21"/>
        <v>41313397</v>
      </c>
      <c r="F55" s="89">
        <f>417+1267-417</f>
        <v>1267</v>
      </c>
      <c r="G55" s="25">
        <f>258064+248863-258064</f>
        <v>248863</v>
      </c>
      <c r="H55" s="46">
        <f t="shared" si="32"/>
        <v>250130</v>
      </c>
      <c r="I55" s="129">
        <f t="shared" si="33"/>
        <v>41563527</v>
      </c>
      <c r="J55" s="89">
        <f>42045207+25317310+43764746+11057139-41915890-25317310</f>
        <v>54951202</v>
      </c>
      <c r="K55" s="132">
        <f t="shared" si="34"/>
        <v>96514729</v>
      </c>
      <c r="L55" s="21" t="s">
        <v>65</v>
      </c>
      <c r="M55" s="145">
        <f>3051191+2729250+726643+680640+1123009+7340017+2258956+0+423046+2911276+2540999+844542+536468+1178958+7140034+0+953897-3051191-2729250-726643-680640-1123009-7340017-2258956-0-423046</f>
        <v>16106174</v>
      </c>
      <c r="N55" s="46">
        <f t="shared" si="35"/>
        <v>38845028</v>
      </c>
      <c r="O55" s="48">
        <f t="shared" si="36"/>
        <v>80408555</v>
      </c>
      <c r="P55" s="89">
        <v>0</v>
      </c>
      <c r="Q55" s="113">
        <f>12394705-16210590</f>
        <v>-3815885</v>
      </c>
      <c r="R55" s="74">
        <f>9146743-11843174</f>
        <v>-2696431</v>
      </c>
    </row>
    <row r="56" spans="1:19" hidden="1" x14ac:dyDescent="0.2">
      <c r="A56" s="30">
        <f>'FERC Interest Rates'!A71</f>
        <v>43159</v>
      </c>
      <c r="B56" s="25">
        <v>15930429</v>
      </c>
      <c r="C56" s="25">
        <f>12040735+5757-4356</f>
        <v>12042136</v>
      </c>
      <c r="D56" s="25">
        <v>1517494</v>
      </c>
      <c r="E56" s="46">
        <f t="shared" si="21"/>
        <v>29490059</v>
      </c>
      <c r="F56" s="89">
        <f>1267+0-1267</f>
        <v>0</v>
      </c>
      <c r="G56" s="25">
        <f>248863+242159-248863</f>
        <v>242159</v>
      </c>
      <c r="H56" s="46">
        <f t="shared" si="32"/>
        <v>242159</v>
      </c>
      <c r="I56" s="129">
        <f t="shared" si="33"/>
        <v>29732218</v>
      </c>
      <c r="J56" s="89">
        <f>43786362+11057139+38242861+15978140-43764746-11057139</f>
        <v>54242617</v>
      </c>
      <c r="K56" s="132">
        <f t="shared" si="34"/>
        <v>83974835</v>
      </c>
      <c r="L56" s="21" t="s">
        <v>65</v>
      </c>
      <c r="M56" s="145">
        <f>2911276+2540999+844542+536468+1178958+7140034+0+0+953897+2487591+2254074+744870+510054+1083209+6489580+1333642+0+697234-2911276-2540999-844542-536468-1178958-7140034-0-0-953897</f>
        <v>15600254</v>
      </c>
      <c r="N56" s="46">
        <f t="shared" si="35"/>
        <v>38642363</v>
      </c>
      <c r="O56" s="48">
        <f t="shared" si="36"/>
        <v>68374581</v>
      </c>
      <c r="P56" s="89">
        <v>0</v>
      </c>
      <c r="Q56" s="113">
        <f>14191411-12394705</f>
        <v>1796706</v>
      </c>
      <c r="R56" s="74">
        <f>10687012-9146743</f>
        <v>1540269</v>
      </c>
    </row>
    <row r="57" spans="1:19" hidden="1" x14ac:dyDescent="0.2">
      <c r="A57" s="30">
        <f>'FERC Interest Rates'!A72</f>
        <v>43190</v>
      </c>
      <c r="B57" s="25">
        <v>18880636</v>
      </c>
      <c r="C57" s="25">
        <f>13967249+4526-5757</f>
        <v>13966018</v>
      </c>
      <c r="D57" s="25">
        <v>1685605</v>
      </c>
      <c r="E57" s="46">
        <f t="shared" si="21"/>
        <v>34532259</v>
      </c>
      <c r="F57" s="89">
        <f>0+51-0</f>
        <v>51</v>
      </c>
      <c r="G57" s="25">
        <f>242159+240280-242159</f>
        <v>240280</v>
      </c>
      <c r="H57" s="46">
        <f t="shared" si="32"/>
        <v>240331</v>
      </c>
      <c r="I57" s="129">
        <f t="shared" si="33"/>
        <v>34772590</v>
      </c>
      <c r="J57" s="89">
        <f>38242861+15978140+40193634+19191924-38242861-15978140</f>
        <v>59385558</v>
      </c>
      <c r="K57" s="132">
        <f t="shared" si="34"/>
        <v>94158148</v>
      </c>
      <c r="L57" s="21" t="s">
        <v>65</v>
      </c>
      <c r="M57" s="145">
        <f>2487591+2254074+744870+510054+1083209+6489580+1333642+0+697234+2589124+2360194+764763+457960+1189749+6698693+407699+0+925311-2487591-2254074-744870-510054-1083209-6489580-1333642-0-697234</f>
        <v>15393493</v>
      </c>
      <c r="N57" s="46">
        <f t="shared" si="35"/>
        <v>43992065</v>
      </c>
      <c r="O57" s="48">
        <f t="shared" si="36"/>
        <v>78764655</v>
      </c>
      <c r="P57" s="89">
        <v>0</v>
      </c>
      <c r="Q57" s="113">
        <f>9771873-14191411</f>
        <v>-4419538</v>
      </c>
      <c r="R57" s="74">
        <f>7181224-10687012</f>
        <v>-3505788</v>
      </c>
    </row>
    <row r="58" spans="1:19" hidden="1" x14ac:dyDescent="0.2">
      <c r="A58" s="30">
        <f>'FERC Interest Rates'!A73</f>
        <v>43220</v>
      </c>
      <c r="B58" s="25">
        <v>12554859</v>
      </c>
      <c r="C58" s="25">
        <f>9771046+2823-4526</f>
        <v>9769343</v>
      </c>
      <c r="D58" s="25">
        <v>1448402</v>
      </c>
      <c r="E58" s="46">
        <f t="shared" si="21"/>
        <v>23772604</v>
      </c>
      <c r="F58" s="89">
        <f>51+0-51</f>
        <v>0</v>
      </c>
      <c r="G58" s="25">
        <f>240280+200185-240280</f>
        <v>200185</v>
      </c>
      <c r="H58" s="46">
        <f t="shared" si="32"/>
        <v>200185</v>
      </c>
      <c r="I58" s="129">
        <f t="shared" si="33"/>
        <v>23972789</v>
      </c>
      <c r="J58" s="89">
        <f>40193634+19191924+34723759+11132239-40193634-19191924</f>
        <v>45855998</v>
      </c>
      <c r="K58" s="132">
        <f t="shared" si="34"/>
        <v>69828787</v>
      </c>
      <c r="L58" s="21" t="s">
        <v>65</v>
      </c>
      <c r="M58" s="145">
        <f>2589124+2360194+764763+457960+1189749+6698693+407699+0+925311+2576948+2420053+760782+395328+1117418+5962269+0+0+248626-2589124-2360194-764763-457960-1189749-6698693-407699-0-925311</f>
        <v>13481424</v>
      </c>
      <c r="N58" s="46">
        <f t="shared" si="35"/>
        <v>32374574</v>
      </c>
      <c r="O58" s="48">
        <f t="shared" si="36"/>
        <v>56347363</v>
      </c>
      <c r="P58" s="89">
        <v>0</v>
      </c>
      <c r="Q58" s="113">
        <f>6423644-9771873</f>
        <v>-3348229</v>
      </c>
      <c r="R58" s="74">
        <f>4977541-7181224</f>
        <v>-2203683</v>
      </c>
    </row>
    <row r="59" spans="1:19" hidden="1" x14ac:dyDescent="0.2">
      <c r="A59" s="30">
        <f>'FERC Interest Rates'!A74</f>
        <v>43251</v>
      </c>
      <c r="B59" s="25">
        <v>7404984</v>
      </c>
      <c r="C59" s="25">
        <f>6243183+520-2823</f>
        <v>6240880</v>
      </c>
      <c r="D59" s="25">
        <v>1118410</v>
      </c>
      <c r="E59" s="46">
        <f t="shared" si="21"/>
        <v>14764274</v>
      </c>
      <c r="F59" s="89">
        <f>0+0-0</f>
        <v>0</v>
      </c>
      <c r="G59" s="25">
        <f>200185+144526-200185</f>
        <v>144526</v>
      </c>
      <c r="H59" s="46">
        <f t="shared" si="32"/>
        <v>144526</v>
      </c>
      <c r="I59" s="129">
        <f t="shared" si="33"/>
        <v>14908800</v>
      </c>
      <c r="J59" s="89">
        <f>34723759+11132239+33561676+16876014-34723759-11132239</f>
        <v>50437690</v>
      </c>
      <c r="K59" s="132">
        <f t="shared" si="34"/>
        <v>65346490</v>
      </c>
      <c r="L59" s="21" t="s">
        <v>65</v>
      </c>
      <c r="M59" s="145">
        <f>2576948+2420053+760782+395328+1117418+5962269+0+0+248626+1833960+1473340+275693+341945+1103385+5032278+702821+0+1760939-2576948-2420053-760782-395328-1117418-5962269-0-0-248626</f>
        <v>12524361</v>
      </c>
      <c r="N59" s="46">
        <f t="shared" si="35"/>
        <v>37913329</v>
      </c>
      <c r="O59" s="48">
        <f t="shared" si="36"/>
        <v>52822129</v>
      </c>
      <c r="P59" s="89">
        <v>0</v>
      </c>
      <c r="Q59" s="113">
        <f>3061183-6423644</f>
        <v>-3362461</v>
      </c>
      <c r="R59" s="74">
        <f>2554573-4977541</f>
        <v>-2422968</v>
      </c>
    </row>
    <row r="60" spans="1:19" hidden="1" x14ac:dyDescent="0.2">
      <c r="A60" s="30">
        <f>'FERC Interest Rates'!A75</f>
        <v>43281</v>
      </c>
      <c r="B60" s="25">
        <v>4018990</v>
      </c>
      <c r="C60" s="25">
        <f>3937807+438-520</f>
        <v>3937725</v>
      </c>
      <c r="D60" s="25">
        <v>859503</v>
      </c>
      <c r="E60" s="46">
        <f t="shared" si="21"/>
        <v>8816218</v>
      </c>
      <c r="F60" s="89">
        <f>0+167-0</f>
        <v>167</v>
      </c>
      <c r="G60" s="25">
        <f>144526+115917-144526</f>
        <v>115917</v>
      </c>
      <c r="H60" s="46">
        <f t="shared" si="32"/>
        <v>116084</v>
      </c>
      <c r="I60" s="129">
        <f t="shared" si="33"/>
        <v>8932302</v>
      </c>
      <c r="J60" s="89">
        <f>33561676+16876014+32538837+13568516-33561676-16876014</f>
        <v>46107353</v>
      </c>
      <c r="K60" s="132">
        <f t="shared" si="34"/>
        <v>55039655</v>
      </c>
      <c r="L60" s="21" t="s">
        <v>65</v>
      </c>
      <c r="M60" s="145">
        <f>1833960+1473340+275693+341945+1103385+5032278+702821+0+1760939+1899111+1560149+755083+358897+986306+3268606+1610020+0+851143-1833960-1473340-275693-341945-1103385-5032278-702821-0-1760939</f>
        <v>11289315</v>
      </c>
      <c r="N60" s="46">
        <f t="shared" si="35"/>
        <v>34818038</v>
      </c>
      <c r="O60" s="48">
        <f t="shared" si="36"/>
        <v>43750340</v>
      </c>
      <c r="P60" s="89">
        <v>0</v>
      </c>
      <c r="Q60" s="113">
        <f>2628458-3061183</f>
        <v>-432725</v>
      </c>
      <c r="R60" s="74">
        <f>2530552-2554573</f>
        <v>-24021</v>
      </c>
    </row>
    <row r="61" spans="1:19" hidden="1" x14ac:dyDescent="0.2">
      <c r="A61" s="30">
        <f>'FERC Interest Rates'!A76</f>
        <v>43312</v>
      </c>
      <c r="B61" s="25">
        <v>3122808</v>
      </c>
      <c r="C61" s="25">
        <f>3296142+124-438</f>
        <v>3295828</v>
      </c>
      <c r="D61" s="25">
        <v>781268</v>
      </c>
      <c r="E61" s="46">
        <f t="shared" si="21"/>
        <v>7199904</v>
      </c>
      <c r="F61" s="89">
        <f>167+0-167</f>
        <v>0</v>
      </c>
      <c r="G61" s="25">
        <f>115917+115400-115917</f>
        <v>115400</v>
      </c>
      <c r="H61" s="46">
        <f t="shared" si="32"/>
        <v>115400</v>
      </c>
      <c r="I61" s="129">
        <f t="shared" si="33"/>
        <v>7315304</v>
      </c>
      <c r="J61" s="89">
        <f>32892877+13802320+31627626+46228894-32538837-13568516</f>
        <v>78444364</v>
      </c>
      <c r="K61" s="132">
        <f t="shared" si="34"/>
        <v>85759668</v>
      </c>
      <c r="L61" s="21" t="s">
        <v>65</v>
      </c>
      <c r="M61" s="145">
        <f>1899111+1560149+755083+358897+986306+3502410+1610020+0+851143+2361080+1597045+530833+248565+1004847+6188410+6692043+0+1421649-1899111-1560149-755083-358897-986306-3268606-1610020-0-851143</f>
        <v>20278276</v>
      </c>
      <c r="N61" s="46">
        <f t="shared" si="35"/>
        <v>58166088</v>
      </c>
      <c r="O61" s="48">
        <f t="shared" si="36"/>
        <v>65481392</v>
      </c>
      <c r="P61" s="89">
        <v>0</v>
      </c>
      <c r="Q61" s="113">
        <f>2376801-2628458</f>
        <v>-251657</v>
      </c>
      <c r="R61" s="74">
        <f>2469451-2530552</f>
        <v>-61101</v>
      </c>
    </row>
    <row r="62" spans="1:19" hidden="1" x14ac:dyDescent="0.2">
      <c r="A62" s="30">
        <f>'FERC Interest Rates'!A77</f>
        <v>43343</v>
      </c>
      <c r="B62" s="25">
        <f>2714543+566</f>
        <v>2715109</v>
      </c>
      <c r="C62" s="25">
        <f>3197529+158-124</f>
        <v>3197563</v>
      </c>
      <c r="D62" s="25">
        <v>798722</v>
      </c>
      <c r="E62" s="46">
        <f t="shared" si="21"/>
        <v>6711394</v>
      </c>
      <c r="F62" s="89">
        <f>0+359-0</f>
        <v>359</v>
      </c>
      <c r="G62" s="25">
        <f>111904+8245+93391-111904-3496</f>
        <v>98140</v>
      </c>
      <c r="H62" s="46">
        <f t="shared" si="32"/>
        <v>98499</v>
      </c>
      <c r="I62" s="129">
        <f t="shared" si="33"/>
        <v>6809893</v>
      </c>
      <c r="J62" s="89">
        <f>31627626+46228894+32586753+44352608-31627626-46228894</f>
        <v>76939361</v>
      </c>
      <c r="K62" s="132">
        <f t="shared" si="34"/>
        <v>83749254</v>
      </c>
      <c r="L62" s="21" t="s">
        <v>65</v>
      </c>
      <c r="M62" s="145">
        <f>2361080+1597045+530833+248565+1004847+6188410+6692043+0+1421649+2073946+1569259+710981+336820+970764+4069426+6558487+1275763-2361080-1597045-530833-248565-1004847-6188410-6692043-0-1421649</f>
        <v>17565446</v>
      </c>
      <c r="N62" s="46">
        <f t="shared" si="35"/>
        <v>59373915</v>
      </c>
      <c r="O62" s="48">
        <f t="shared" si="36"/>
        <v>66183808</v>
      </c>
      <c r="P62" s="89">
        <v>0</v>
      </c>
      <c r="Q62" s="113">
        <f>1072372-2376801</f>
        <v>-1304429</v>
      </c>
      <c r="R62" s="74">
        <f>1246891-2469451</f>
        <v>-1222560</v>
      </c>
    </row>
    <row r="63" spans="1:19" hidden="1" x14ac:dyDescent="0.2">
      <c r="A63" s="30">
        <f>'FERC Interest Rates'!A78</f>
        <v>43373</v>
      </c>
      <c r="B63" s="111">
        <v>2809188</v>
      </c>
      <c r="C63" s="111">
        <f>3168549+501-158</f>
        <v>3168892</v>
      </c>
      <c r="D63" s="111">
        <v>889025</v>
      </c>
      <c r="E63" s="112">
        <f t="shared" si="21"/>
        <v>6867105</v>
      </c>
      <c r="F63" s="89">
        <f>359+188-359</f>
        <v>188</v>
      </c>
      <c r="G63" s="111">
        <f>93391+118645-93391</f>
        <v>118645</v>
      </c>
      <c r="H63" s="112">
        <f t="shared" si="32"/>
        <v>118833</v>
      </c>
      <c r="I63" s="129">
        <f t="shared" si="33"/>
        <v>6985938</v>
      </c>
      <c r="J63" s="89">
        <f>32959033+44352608+36656724+34986825-32586753-44352608</f>
        <v>72015829</v>
      </c>
      <c r="K63" s="132">
        <f t="shared" si="34"/>
        <v>79001767</v>
      </c>
      <c r="L63" s="139" t="s">
        <v>65</v>
      </c>
      <c r="M63" s="145">
        <f>2073946+1569259+710981+336820+1343044+4069426+6558487+1275763+14392902+2302148+1821816+648766+336043+1086841+3186225+0+25764-2073946-1569259-710981-336820-970764-4069426-6558487-1275763-14392902</f>
        <v>9779883</v>
      </c>
      <c r="N63" s="112">
        <f t="shared" si="35"/>
        <v>62235946</v>
      </c>
      <c r="O63" s="48">
        <f t="shared" si="36"/>
        <v>69221884</v>
      </c>
      <c r="P63" s="89">
        <v>0</v>
      </c>
      <c r="Q63" s="113">
        <f>1999718-1072372</f>
        <v>927346</v>
      </c>
      <c r="R63" s="74">
        <f>2233399-1246891</f>
        <v>986508</v>
      </c>
    </row>
    <row r="64" spans="1:19" hidden="1" x14ac:dyDescent="0.2">
      <c r="A64" s="19">
        <f>'FERC Interest Rates'!A79</f>
        <v>43404</v>
      </c>
      <c r="B64" s="28">
        <v>5307116</v>
      </c>
      <c r="C64" s="28">
        <f>4934895+2079-501</f>
        <v>4936473</v>
      </c>
      <c r="D64" s="28">
        <v>1478716</v>
      </c>
      <c r="E64" s="47">
        <f t="shared" si="21"/>
        <v>11722305</v>
      </c>
      <c r="F64" s="55">
        <f>188+21-188</f>
        <v>21</v>
      </c>
      <c r="G64" s="28">
        <f>118645+197742-118645</f>
        <v>197742</v>
      </c>
      <c r="H64" s="47">
        <f t="shared" si="32"/>
        <v>197763</v>
      </c>
      <c r="I64" s="130">
        <f t="shared" si="33"/>
        <v>11920068</v>
      </c>
      <c r="J64" s="55">
        <f>36656724+34986825+38306298+20347223-36656724-34986825</f>
        <v>58653521</v>
      </c>
      <c r="K64" s="133">
        <f t="shared" si="34"/>
        <v>70573589</v>
      </c>
      <c r="L64" s="22" t="s">
        <v>65</v>
      </c>
      <c r="M64" s="55">
        <f>2302148+1821816+648766+336043+1086841+3186225+0+25764+2519545+1323607+785768+574709+654091+6582081+0+15208-2302148-1821816-648766-336043-1086841-3186225-0-25764</f>
        <v>12455009</v>
      </c>
      <c r="N64" s="47">
        <f t="shared" si="35"/>
        <v>46198512</v>
      </c>
      <c r="O64" s="49">
        <f t="shared" si="36"/>
        <v>58118580</v>
      </c>
      <c r="P64" s="55">
        <v>0</v>
      </c>
      <c r="Q64" s="117">
        <f>4772036-1999718</f>
        <v>2772318</v>
      </c>
      <c r="R64" s="75">
        <f>4424005-2233399</f>
        <v>2190606</v>
      </c>
    </row>
    <row r="65" spans="1:19" x14ac:dyDescent="0.2">
      <c r="A65" s="106">
        <f>'FERC Interest Rates'!A80</f>
        <v>43434</v>
      </c>
      <c r="B65" s="111">
        <v>8960930</v>
      </c>
      <c r="C65" s="111">
        <f>6947705+3464-2079</f>
        <v>6949090</v>
      </c>
      <c r="D65" s="111">
        <v>1174387</v>
      </c>
      <c r="E65" s="112">
        <f t="shared" si="21"/>
        <v>17084407</v>
      </c>
      <c r="F65" s="89">
        <f>21+63-21</f>
        <v>63</v>
      </c>
      <c r="G65" s="111">
        <f>197742+217688-197742</f>
        <v>217688</v>
      </c>
      <c r="H65" s="112">
        <f t="shared" ref="H65:H76" si="37">SUM(F65:G65)</f>
        <v>217751</v>
      </c>
      <c r="I65" s="129">
        <f t="shared" ref="I65:I76" si="38">E65+H65</f>
        <v>17302158</v>
      </c>
      <c r="J65" s="89">
        <f>38306298+20347223+30607596+8010794-38306298-20347223</f>
        <v>38618390</v>
      </c>
      <c r="K65" s="112">
        <f t="shared" si="34"/>
        <v>55920548</v>
      </c>
      <c r="L65" s="84" t="s">
        <v>65</v>
      </c>
      <c r="M65" s="89">
        <f>2519545+1323607+785768+574709+654091+6582081+0+15208+2036183+702707+630069+446415+843484+7455224+392300+24401-2519545-1323607-785768-574709-654091-6582081-0-15208</f>
        <v>12530783</v>
      </c>
      <c r="N65" s="112">
        <f t="shared" ref="N65:N76" si="39">J65-M65</f>
        <v>26087607</v>
      </c>
      <c r="O65" s="48">
        <f t="shared" ref="O65:O76" si="40">K65-M65</f>
        <v>43389765</v>
      </c>
      <c r="P65" s="89">
        <v>0</v>
      </c>
      <c r="Q65" s="113">
        <f>11306377-4772036</f>
        <v>6534341</v>
      </c>
      <c r="R65" s="74">
        <f>8615742-4424005</f>
        <v>4191737</v>
      </c>
      <c r="S65" s="1" t="s">
        <v>146</v>
      </c>
    </row>
    <row r="66" spans="1:19" x14ac:dyDescent="0.2">
      <c r="A66" s="30">
        <f>'FERC Interest Rates'!A81</f>
        <v>43465</v>
      </c>
      <c r="B66" s="111">
        <v>17031202</v>
      </c>
      <c r="C66" s="111">
        <f>12847300+4915-3464</f>
        <v>12848751</v>
      </c>
      <c r="D66" s="111">
        <v>1780585</v>
      </c>
      <c r="E66" s="112">
        <f t="shared" si="21"/>
        <v>31660538</v>
      </c>
      <c r="F66" s="89">
        <f>63+79-63</f>
        <v>79</v>
      </c>
      <c r="G66" s="111">
        <f>217688+260482-217688</f>
        <v>260482</v>
      </c>
      <c r="H66" s="112">
        <f t="shared" si="37"/>
        <v>260561</v>
      </c>
      <c r="I66" s="129">
        <f t="shared" si="38"/>
        <v>31921099</v>
      </c>
      <c r="J66" s="89">
        <f>30607596+8010794+35363826+27155220-30607596-8010794</f>
        <v>62519046</v>
      </c>
      <c r="K66" s="112">
        <f t="shared" si="34"/>
        <v>94440145</v>
      </c>
      <c r="L66" s="84" t="s">
        <v>65</v>
      </c>
      <c r="M66" s="89">
        <f>2036183+702707+630069+446415+843484+7455224+392300+24401+2617891+938576+765472+502419+1192617+7824829+357236+82468-2036183-702707-630069-446415-843484-7455224-392300-24401</f>
        <v>14281508</v>
      </c>
      <c r="N66" s="112">
        <f t="shared" si="39"/>
        <v>48237538</v>
      </c>
      <c r="O66" s="48">
        <f t="shared" si="40"/>
        <v>80158637</v>
      </c>
      <c r="P66" s="89">
        <v>0</v>
      </c>
      <c r="Q66" s="113">
        <f>13675573-11306377</f>
        <v>2369196</v>
      </c>
      <c r="R66" s="74">
        <f>10228218-8615742</f>
        <v>1612476</v>
      </c>
    </row>
    <row r="67" spans="1:19" x14ac:dyDescent="0.2">
      <c r="A67" s="114">
        <f>'FERC Interest Rates'!A82</f>
        <v>43496</v>
      </c>
      <c r="B67" s="111">
        <v>19425579</v>
      </c>
      <c r="C67" s="111">
        <f>14600523+4626-4915</f>
        <v>14600234</v>
      </c>
      <c r="D67" s="111">
        <v>1764670</v>
      </c>
      <c r="E67" s="112">
        <f t="shared" si="21"/>
        <v>35790483</v>
      </c>
      <c r="F67" s="89">
        <f>79+7-79</f>
        <v>7</v>
      </c>
      <c r="G67" s="111">
        <f>260482+258811-260482</f>
        <v>258811</v>
      </c>
      <c r="H67" s="112">
        <f t="shared" si="37"/>
        <v>258818</v>
      </c>
      <c r="I67" s="129">
        <f t="shared" si="38"/>
        <v>36049301</v>
      </c>
      <c r="J67" s="89">
        <f>35363826+27155220+38940773+26818206-35363826-27155220</f>
        <v>65758979</v>
      </c>
      <c r="K67" s="112">
        <f t="shared" si="34"/>
        <v>101808280</v>
      </c>
      <c r="L67" s="84" t="s">
        <v>65</v>
      </c>
      <c r="M67" s="89">
        <f>2617891+938576+765472+502419+1192617+7824829+357236+82468+3202152+2041529+835418+564041+1220699+7679533+0+0-2617891-938576-765472-502419-1192617-7824829-357236-82468</f>
        <v>15543372</v>
      </c>
      <c r="N67" s="112">
        <f t="shared" si="39"/>
        <v>50215607</v>
      </c>
      <c r="O67" s="48">
        <f t="shared" si="40"/>
        <v>86264908</v>
      </c>
      <c r="P67" s="89">
        <v>0</v>
      </c>
      <c r="Q67" s="113">
        <f>13677389-13675573</f>
        <v>1816</v>
      </c>
      <c r="R67" s="74">
        <f>10187002-10228218</f>
        <v>-41216</v>
      </c>
    </row>
    <row r="68" spans="1:19" x14ac:dyDescent="0.2">
      <c r="A68" s="30">
        <f>'FERC Interest Rates'!A83</f>
        <v>43524</v>
      </c>
      <c r="B68" s="111">
        <v>20826493</v>
      </c>
      <c r="C68" s="111">
        <f>15520348+5486-4626</f>
        <v>15521208</v>
      </c>
      <c r="D68" s="111">
        <v>1942115</v>
      </c>
      <c r="E68" s="112">
        <f t="shared" si="21"/>
        <v>38289816</v>
      </c>
      <c r="F68" s="89">
        <f>7+0-7</f>
        <v>0</v>
      </c>
      <c r="G68" s="111">
        <f>258811+270184-258811</f>
        <v>270184</v>
      </c>
      <c r="H68" s="112">
        <f t="shared" si="37"/>
        <v>270184</v>
      </c>
      <c r="I68" s="129">
        <f t="shared" si="38"/>
        <v>38560000</v>
      </c>
      <c r="J68" s="89">
        <f>38940773+26818206+37253381+23693433-38940773-26818206</f>
        <v>60946814</v>
      </c>
      <c r="K68" s="112">
        <f t="shared" si="34"/>
        <v>99506814</v>
      </c>
      <c r="L68" s="84" t="s">
        <v>65</v>
      </c>
      <c r="M68" s="89">
        <f>3202152+2041529+835418+564041+1220699+7679533+0+0+2316555+2359414+735036+538901+1078245+7686555+2483404+39201-3202152-2041529-835418-564041-1220699-7679533-0-0</f>
        <v>17237311</v>
      </c>
      <c r="N68" s="112">
        <f t="shared" si="39"/>
        <v>43709503</v>
      </c>
      <c r="O68" s="48">
        <f t="shared" si="40"/>
        <v>82269503</v>
      </c>
      <c r="P68" s="89">
        <v>0</v>
      </c>
      <c r="Q68" s="113">
        <f>17127329-13677389</f>
        <v>3449940</v>
      </c>
      <c r="R68" s="74">
        <f>12666270-10187002</f>
        <v>2479268</v>
      </c>
    </row>
    <row r="69" spans="1:19" x14ac:dyDescent="0.2">
      <c r="A69" s="115">
        <f>'FERC Interest Rates'!A84</f>
        <v>43555</v>
      </c>
      <c r="B69" s="28">
        <v>22406676</v>
      </c>
      <c r="C69" s="28">
        <f>17597418+3527-5486</f>
        <v>17595459</v>
      </c>
      <c r="D69" s="28">
        <v>2139177</v>
      </c>
      <c r="E69" s="47">
        <f t="shared" si="21"/>
        <v>42141312</v>
      </c>
      <c r="F69" s="55">
        <v>0</v>
      </c>
      <c r="G69" s="28">
        <f>270184+248145-270184</f>
        <v>248145</v>
      </c>
      <c r="H69" s="47">
        <f t="shared" si="37"/>
        <v>248145</v>
      </c>
      <c r="I69" s="130">
        <f t="shared" si="38"/>
        <v>42389457</v>
      </c>
      <c r="J69" s="55">
        <f>37253381+23693433+36801397+22665583-37253381-23693433</f>
        <v>59466980</v>
      </c>
      <c r="K69" s="47">
        <f t="shared" si="34"/>
        <v>101856437</v>
      </c>
      <c r="L69" s="116" t="s">
        <v>65</v>
      </c>
      <c r="M69" s="55">
        <f>2316555+2359414+735036+538901+1078245+7686555+2483404+39201+2298407+2520690+848257+538257+1154609+9312929+334503+112350-2316555-2359414-735036-538901-1078245-7686555-2483404-39201</f>
        <v>17120002</v>
      </c>
      <c r="N69" s="47">
        <f t="shared" si="39"/>
        <v>42346978</v>
      </c>
      <c r="O69" s="49">
        <f t="shared" si="40"/>
        <v>84736435</v>
      </c>
      <c r="P69" s="55">
        <v>0</v>
      </c>
      <c r="Q69" s="117">
        <f>11032733-17127329</f>
        <v>-6094596</v>
      </c>
      <c r="R69" s="75">
        <f>8619566-12666270</f>
        <v>-4046704</v>
      </c>
    </row>
    <row r="70" spans="1:19" x14ac:dyDescent="0.2">
      <c r="A70" s="83">
        <f>'FERC Interest Rates'!A85</f>
        <v>43585</v>
      </c>
      <c r="B70" s="25">
        <v>12262358</v>
      </c>
      <c r="C70" s="25">
        <f>10128913+2258-3527</f>
        <v>10127644</v>
      </c>
      <c r="D70" s="25">
        <v>1670359</v>
      </c>
      <c r="E70" s="46">
        <f t="shared" si="21"/>
        <v>24060361</v>
      </c>
      <c r="F70" s="89">
        <f>0+128-0</f>
        <v>128</v>
      </c>
      <c r="G70" s="25">
        <f>248145+191467-248145</f>
        <v>191467</v>
      </c>
      <c r="H70" s="46">
        <f t="shared" si="37"/>
        <v>191595</v>
      </c>
      <c r="I70" s="129">
        <f t="shared" si="38"/>
        <v>24251956</v>
      </c>
      <c r="J70" s="89">
        <f>36773442+22665583+34981109+18550201-36801397-22665583</f>
        <v>53503355</v>
      </c>
      <c r="K70" s="46">
        <f t="shared" si="34"/>
        <v>77755311</v>
      </c>
      <c r="L70" s="84" t="s">
        <v>65</v>
      </c>
      <c r="M70" s="89">
        <f>2298407+2520690+848257+538257+1154609+9312929+334503+112350+2069826+2845634+769998+397319+1061450+8371884+0+8745-2298407-2520690-848257-538257-1154609-9312929-334503-112350</f>
        <v>15524856</v>
      </c>
      <c r="N70" s="46">
        <f t="shared" si="39"/>
        <v>37978499</v>
      </c>
      <c r="O70" s="48">
        <f t="shared" si="40"/>
        <v>62230455</v>
      </c>
      <c r="P70" s="89">
        <v>0</v>
      </c>
      <c r="Q70" s="8">
        <f>5722513-11032733</f>
        <v>-5310220</v>
      </c>
      <c r="R70" s="8">
        <f>4713041-8619566</f>
        <v>-3906525</v>
      </c>
      <c r="S70" s="1" t="s">
        <v>147</v>
      </c>
    </row>
    <row r="71" spans="1:19" x14ac:dyDescent="0.2">
      <c r="A71" s="82">
        <f>'FERC Interest Rates'!A86</f>
        <v>43616</v>
      </c>
      <c r="B71" s="25">
        <v>7409569</v>
      </c>
      <c r="C71" s="25">
        <f>6064993+645-2258</f>
        <v>6063380</v>
      </c>
      <c r="D71" s="25">
        <v>1057539</v>
      </c>
      <c r="E71" s="46">
        <f t="shared" si="21"/>
        <v>14530488</v>
      </c>
      <c r="F71" s="89">
        <f>128+151-128</f>
        <v>151</v>
      </c>
      <c r="G71" s="25">
        <f>191467+142256-191467</f>
        <v>142256</v>
      </c>
      <c r="H71" s="46">
        <f t="shared" si="37"/>
        <v>142407</v>
      </c>
      <c r="I71" s="129">
        <f t="shared" si="38"/>
        <v>14672895</v>
      </c>
      <c r="J71" s="89">
        <f>35006149+18550201+35884737+12077889-34981109-18550201</f>
        <v>47987666</v>
      </c>
      <c r="K71" s="46">
        <f t="shared" si="34"/>
        <v>62660561</v>
      </c>
      <c r="L71" s="84" t="s">
        <v>65</v>
      </c>
      <c r="M71" s="89">
        <f>2069826+2845634+769998+397319+1061450+8371884+0+8745+1973660+2219500+453427+390685+1024594+5401237+509919+210060-2069826-2845634-769998-397319-1061450-8371884-0-8745</f>
        <v>12183082</v>
      </c>
      <c r="N71" s="46">
        <f t="shared" si="39"/>
        <v>35804584</v>
      </c>
      <c r="O71" s="48">
        <f>K71-M71</f>
        <v>50477479</v>
      </c>
      <c r="P71" s="89">
        <v>0</v>
      </c>
      <c r="Q71" s="8">
        <f>3331371-5722513</f>
        <v>-2391142</v>
      </c>
      <c r="R71" s="8">
        <f>2695771-4713041</f>
        <v>-2017270</v>
      </c>
    </row>
    <row r="72" spans="1:19" x14ac:dyDescent="0.2">
      <c r="A72" s="82">
        <f>'FERC Interest Rates'!A87</f>
        <v>43646</v>
      </c>
      <c r="B72" s="25">
        <v>4046705</v>
      </c>
      <c r="C72" s="25">
        <f>3946075+367-645</f>
        <v>3945797</v>
      </c>
      <c r="D72" s="25">
        <f>854078</f>
        <v>854078</v>
      </c>
      <c r="E72" s="46">
        <f t="shared" si="21"/>
        <v>8846580</v>
      </c>
      <c r="F72" s="89">
        <f>151+0-151</f>
        <v>0</v>
      </c>
      <c r="G72" s="25">
        <f>142256+110987-142256</f>
        <v>110987</v>
      </c>
      <c r="H72" s="46">
        <f t="shared" si="37"/>
        <v>110987</v>
      </c>
      <c r="I72" s="129">
        <f t="shared" si="38"/>
        <v>8957567</v>
      </c>
      <c r="J72" s="89">
        <f>35884737+12077889+33440624+21488123-35884737-12077889</f>
        <v>54928747</v>
      </c>
      <c r="K72" s="46">
        <f t="shared" si="34"/>
        <v>63886314</v>
      </c>
      <c r="L72" s="84" t="s">
        <v>65</v>
      </c>
      <c r="M72" s="89">
        <f>1973660+2219500+453427+390685+1024594+5401237+509919+210060+2265713+2090677+759078+327788+937176+5673695+0+100169-1973660-2219500-453427-390685-1024594-5401237-509919-210060</f>
        <v>12154296</v>
      </c>
      <c r="N72" s="46">
        <f t="shared" si="39"/>
        <v>42774451</v>
      </c>
      <c r="O72" s="48">
        <f t="shared" si="40"/>
        <v>51732018</v>
      </c>
      <c r="P72" s="89">
        <v>0</v>
      </c>
      <c r="Q72" s="8">
        <f>2187188-3331371</f>
        <v>-1144183</v>
      </c>
      <c r="R72" s="8">
        <f>2099565-2695771</f>
        <v>-596206</v>
      </c>
    </row>
    <row r="73" spans="1:19" x14ac:dyDescent="0.2">
      <c r="A73" s="83">
        <f>'FERC Interest Rates'!A88</f>
        <v>43677</v>
      </c>
      <c r="B73" s="25">
        <v>3217527</v>
      </c>
      <c r="C73" s="25">
        <f>3460988+155-367</f>
        <v>3460776</v>
      </c>
      <c r="D73" s="25">
        <v>852365</v>
      </c>
      <c r="E73" s="46">
        <f t="shared" si="21"/>
        <v>7530668</v>
      </c>
      <c r="F73" s="89">
        <f>0+163-0</f>
        <v>163</v>
      </c>
      <c r="G73" s="25">
        <f>110987+120028-110987</f>
        <v>120028</v>
      </c>
      <c r="H73" s="46">
        <f t="shared" si="37"/>
        <v>120191</v>
      </c>
      <c r="I73" s="129">
        <f t="shared" si="38"/>
        <v>7650859</v>
      </c>
      <c r="J73" s="89">
        <f>33440624+21488123+33197167+48201005-33440624-21488123</f>
        <v>81398172</v>
      </c>
      <c r="K73" s="46">
        <f t="shared" si="34"/>
        <v>89049031</v>
      </c>
      <c r="L73" s="84" t="s">
        <v>65</v>
      </c>
      <c r="M73" s="89">
        <f>2265713+2090677+759078+327788+937176+5673695+0+100169+2468668+2697591+656415+339569+959617+6186256+8340220+0-2265713-2090677-759078-327788-937176-5673695-0-100169</f>
        <v>21648336</v>
      </c>
      <c r="N73" s="46">
        <f t="shared" si="39"/>
        <v>59749836</v>
      </c>
      <c r="O73" s="48">
        <f t="shared" si="40"/>
        <v>67400695</v>
      </c>
      <c r="P73" s="89">
        <v>0</v>
      </c>
      <c r="Q73" s="8">
        <f>2058587-2187188</f>
        <v>-128601</v>
      </c>
      <c r="R73" s="8">
        <f>2183931-2099565</f>
        <v>84366</v>
      </c>
    </row>
    <row r="74" spans="1:19" x14ac:dyDescent="0.2">
      <c r="A74" s="82">
        <f>'FERC Interest Rates'!A89</f>
        <v>43708</v>
      </c>
      <c r="B74" s="25">
        <v>2775098</v>
      </c>
      <c r="C74" s="25">
        <f>3192851+138-155</f>
        <v>3192834</v>
      </c>
      <c r="D74" s="25">
        <v>915216</v>
      </c>
      <c r="E74" s="46">
        <f t="shared" si="21"/>
        <v>6883148</v>
      </c>
      <c r="F74" s="89">
        <f>163+0-163</f>
        <v>0</v>
      </c>
      <c r="G74" s="25">
        <f>120028+93626-120028</f>
        <v>93626</v>
      </c>
      <c r="H74" s="46">
        <f t="shared" si="37"/>
        <v>93626</v>
      </c>
      <c r="I74" s="129">
        <f t="shared" si="38"/>
        <v>6976774</v>
      </c>
      <c r="J74" s="89">
        <f>33209086+48201005+35054871+57112060-33197167-48201005</f>
        <v>92178850</v>
      </c>
      <c r="K74" s="46">
        <f t="shared" si="34"/>
        <v>99155624</v>
      </c>
      <c r="L74" s="84" t="s">
        <v>65</v>
      </c>
      <c r="M74" s="89">
        <f>2468668+2697591+656415+339569+959617+6186256+8340220+0+2310615+2677115+629970+278437+979527+6575658+9118215+147250-2468668-2697591-656415-339569-959617-6186256-8340220-0</f>
        <v>22716787</v>
      </c>
      <c r="N74" s="46">
        <f t="shared" ref="N74" si="41">J74-M74</f>
        <v>69462063</v>
      </c>
      <c r="O74" s="48">
        <f t="shared" ref="O74" si="42">K74-M74</f>
        <v>76438837</v>
      </c>
      <c r="P74" s="89">
        <v>0</v>
      </c>
      <c r="Q74" s="8">
        <f>1100941-2058587</f>
        <v>-957646</v>
      </c>
      <c r="R74" s="8">
        <f>1243727-2183931</f>
        <v>-940204</v>
      </c>
    </row>
    <row r="75" spans="1:19" x14ac:dyDescent="0.2">
      <c r="A75" s="82">
        <f>'FERC Interest Rates'!A90</f>
        <v>43738</v>
      </c>
      <c r="B75" s="25">
        <v>2691847</v>
      </c>
      <c r="C75" s="25">
        <f>3019665+619-138</f>
        <v>3020146</v>
      </c>
      <c r="D75" s="25">
        <v>962596</v>
      </c>
      <c r="E75" s="46">
        <f t="shared" si="21"/>
        <v>6674589</v>
      </c>
      <c r="F75" s="89">
        <f>0+411-0</f>
        <v>411</v>
      </c>
      <c r="G75" s="25">
        <f>93626+111442-93626</f>
        <v>111442</v>
      </c>
      <c r="H75" s="46">
        <f t="shared" si="37"/>
        <v>111853</v>
      </c>
      <c r="I75" s="129">
        <f t="shared" si="38"/>
        <v>6786442</v>
      </c>
      <c r="J75" s="89">
        <f>35054871+57112060+38007048+48218642-35054871-57112060</f>
        <v>86225690</v>
      </c>
      <c r="K75" s="46">
        <f t="shared" si="34"/>
        <v>93012132</v>
      </c>
      <c r="L75" s="84" t="s">
        <v>65</v>
      </c>
      <c r="M75" s="89">
        <f>2310615+2677115+629970+278437+979527+6575658+9118215+147250+2238144+2457018+700843+318250+880129+6543518+6204407+451349-2310615-2677115-629970-278437-979527-6575658-9118215-147250</f>
        <v>19793658</v>
      </c>
      <c r="N75" s="46">
        <f t="shared" si="39"/>
        <v>66432032</v>
      </c>
      <c r="O75" s="48">
        <f t="shared" si="40"/>
        <v>73218474</v>
      </c>
      <c r="P75" s="89">
        <v>0</v>
      </c>
      <c r="Q75" s="8">
        <f>2696601-1100941</f>
        <v>1595660</v>
      </c>
      <c r="R75" s="8">
        <f>2978172-1243727</f>
        <v>1734445</v>
      </c>
    </row>
    <row r="76" spans="1:19" x14ac:dyDescent="0.2">
      <c r="A76" s="156">
        <f>'FERC Interest Rates'!A91</f>
        <v>43769</v>
      </c>
      <c r="B76" s="28">
        <v>6366467</v>
      </c>
      <c r="C76" s="28">
        <f>5534429+1350316-619</f>
        <v>6884126</v>
      </c>
      <c r="D76" s="28">
        <v>1687630</v>
      </c>
      <c r="E76" s="47">
        <f t="shared" si="21"/>
        <v>14938223</v>
      </c>
      <c r="F76" s="55">
        <f>411+317-411</f>
        <v>317</v>
      </c>
      <c r="G76" s="28">
        <f>111442+232820-111442</f>
        <v>232820</v>
      </c>
      <c r="H76" s="47">
        <f t="shared" si="37"/>
        <v>233137</v>
      </c>
      <c r="I76" s="130">
        <f t="shared" si="38"/>
        <v>15171360</v>
      </c>
      <c r="J76" s="55">
        <f>38794472+48218231+41355714+22420091-38007048-48218642</f>
        <v>64562818</v>
      </c>
      <c r="K76" s="47">
        <f t="shared" si="34"/>
        <v>79734178</v>
      </c>
      <c r="L76" s="116" t="s">
        <v>65</v>
      </c>
      <c r="M76" s="55">
        <f>2238144+2457018+700843+318250+880129+6543518+6204407+451349+2832256+2779753+787046+348739+985783+7985929+1743835+59022-2238144-2457018-700843-318250-880129-6543518-6204407-451349</f>
        <v>17522363</v>
      </c>
      <c r="N76" s="47">
        <f t="shared" si="39"/>
        <v>47040455</v>
      </c>
      <c r="O76" s="49">
        <f t="shared" si="40"/>
        <v>62211815</v>
      </c>
      <c r="P76" s="55">
        <v>0</v>
      </c>
      <c r="Q76" s="117">
        <f>7415550-2696601</f>
        <v>4718949</v>
      </c>
      <c r="R76" s="117">
        <f>6393900-2978172</f>
        <v>3415728</v>
      </c>
    </row>
    <row r="77" spans="1:19" x14ac:dyDescent="0.2">
      <c r="A77" s="83">
        <f>'FERC Interest Rates'!A92</f>
        <v>43799</v>
      </c>
      <c r="B77" s="25">
        <v>11628968</v>
      </c>
      <c r="C77" s="25">
        <f>10296014+1502701-1350316</f>
        <v>10448399</v>
      </c>
      <c r="D77" s="25">
        <v>1643539</v>
      </c>
      <c r="E77" s="46">
        <f t="shared" ref="E77:E100" si="43">SUM(B77:D77)</f>
        <v>23720906</v>
      </c>
      <c r="F77" s="89">
        <f>317+491-317</f>
        <v>491</v>
      </c>
      <c r="G77" s="25">
        <f>232820+230233-232820</f>
        <v>230233</v>
      </c>
      <c r="H77" s="46">
        <f t="shared" ref="H77:H88" si="44">SUM(F77:G77)</f>
        <v>230724</v>
      </c>
      <c r="I77" s="129">
        <f t="shared" ref="I77:I88" si="45">E77+H77</f>
        <v>23951630</v>
      </c>
      <c r="J77" s="89">
        <f>41355846+22420091+37732887+26464477-41355714-22420091</f>
        <v>64197496</v>
      </c>
      <c r="K77" s="46">
        <f t="shared" ref="K77:K88" si="46">I77+J77</f>
        <v>88149126</v>
      </c>
      <c r="L77" s="84" t="s">
        <v>65</v>
      </c>
      <c r="M77" s="89">
        <f>2832256+2779753+787046+348739+985783+7985929+1743835+59022+3143984+2719510+758864+325444+994562+7351963+188376+57819-2832256-2779753-787046-348739-985783-7985929-1743835-59022</f>
        <v>15540522</v>
      </c>
      <c r="N77" s="46">
        <f t="shared" ref="N77:N88" si="47">J77-M77</f>
        <v>48656974</v>
      </c>
      <c r="O77" s="48">
        <f t="shared" ref="O77:O88" si="48">K77-M77</f>
        <v>72608604</v>
      </c>
      <c r="P77" s="89">
        <v>0</v>
      </c>
      <c r="Q77" s="8">
        <f>11690320-7415550</f>
        <v>4274770</v>
      </c>
      <c r="R77" s="8">
        <f>10324809-6393900</f>
        <v>3930909</v>
      </c>
      <c r="S77" s="1" t="s">
        <v>146</v>
      </c>
    </row>
    <row r="78" spans="1:19" x14ac:dyDescent="0.2">
      <c r="A78" s="83">
        <f>'FERC Interest Rates'!A93</f>
        <v>43830</v>
      </c>
      <c r="B78" s="25">
        <v>17650518</v>
      </c>
      <c r="C78" s="25">
        <f>14749563+1693551-1502701</f>
        <v>14940413</v>
      </c>
      <c r="D78" s="25">
        <v>1791294</v>
      </c>
      <c r="E78" s="46">
        <f t="shared" si="43"/>
        <v>34382225</v>
      </c>
      <c r="F78" s="89">
        <f>491+261-491</f>
        <v>261</v>
      </c>
      <c r="G78" s="25">
        <f>230233+254015-230233</f>
        <v>254015</v>
      </c>
      <c r="H78" s="46">
        <f t="shared" si="44"/>
        <v>254276</v>
      </c>
      <c r="I78" s="129">
        <f t="shared" si="45"/>
        <v>34636501</v>
      </c>
      <c r="J78" s="89">
        <f>37759990+26464477+41056657+43590578-37732887-26464477</f>
        <v>84674338</v>
      </c>
      <c r="K78" s="46">
        <f t="shared" si="46"/>
        <v>119310839</v>
      </c>
      <c r="L78" s="84" t="s">
        <v>65</v>
      </c>
      <c r="M78" s="89">
        <f>3143984+2719510+758864+325444+994562+7351963+188376+57819+4182562+2894369+777031+492333+1120091+7386486+6845573+0-3143984-2719510-758864-325444-994562-7351963-188376-57819</f>
        <v>23698445</v>
      </c>
      <c r="N78" s="46">
        <f t="shared" si="47"/>
        <v>60975893</v>
      </c>
      <c r="O78" s="48">
        <f t="shared" si="48"/>
        <v>95612394</v>
      </c>
      <c r="P78" s="89">
        <v>0</v>
      </c>
      <c r="Q78" s="8">
        <f>13833214-11690320</f>
        <v>2142894</v>
      </c>
      <c r="R78" s="8">
        <f>11506709-10324809</f>
        <v>1181900</v>
      </c>
    </row>
    <row r="79" spans="1:19" x14ac:dyDescent="0.2">
      <c r="A79" s="83">
        <f>'FERC Interest Rates'!A94</f>
        <v>43861</v>
      </c>
      <c r="B79" s="25">
        <v>21443608</v>
      </c>
      <c r="C79" s="25">
        <f>17698627+1788033-1693551</f>
        <v>17793109</v>
      </c>
      <c r="D79" s="25">
        <v>1954006</v>
      </c>
      <c r="E79" s="46">
        <f t="shared" si="43"/>
        <v>41190723</v>
      </c>
      <c r="F79" s="89">
        <f>261+85-261</f>
        <v>85</v>
      </c>
      <c r="G79" s="25">
        <f>254015+256203-254015</f>
        <v>256203</v>
      </c>
      <c r="H79" s="46">
        <f t="shared" si="44"/>
        <v>256288</v>
      </c>
      <c r="I79" s="129">
        <f t="shared" si="45"/>
        <v>41447011</v>
      </c>
      <c r="J79" s="89">
        <f>41064766+43590578+42048545+33855213-41056657-43590578</f>
        <v>75911867</v>
      </c>
      <c r="K79" s="46">
        <f t="shared" si="46"/>
        <v>117358878</v>
      </c>
      <c r="L79" s="84" t="s">
        <v>65</v>
      </c>
      <c r="M79" s="89">
        <f>4182562+2894369+777031+492333+1120091+7386486+6845573+0+4206155+2962351+872878+386843+1160711+7350647+4214606+13899-4182562-2894369-777031-492333-1120091-7386486-6845573-0</f>
        <v>21168090</v>
      </c>
      <c r="N79" s="46">
        <f t="shared" si="47"/>
        <v>54743777</v>
      </c>
      <c r="O79" s="48">
        <f t="shared" si="48"/>
        <v>96190788</v>
      </c>
      <c r="P79" s="89">
        <v>0</v>
      </c>
      <c r="Q79" s="8">
        <f>11533219-13833214</f>
        <v>-2299995</v>
      </c>
      <c r="R79" s="8">
        <f>9522833-11506709</f>
        <v>-1983876</v>
      </c>
    </row>
    <row r="80" spans="1:19" x14ac:dyDescent="0.2">
      <c r="A80" s="83">
        <f>'FERC Interest Rates'!A95</f>
        <v>43890</v>
      </c>
      <c r="B80" s="25">
        <v>17506775</v>
      </c>
      <c r="C80" s="25">
        <f>14986629+1666428-1788033</f>
        <v>14865024</v>
      </c>
      <c r="D80" s="25">
        <v>1715867</v>
      </c>
      <c r="E80" s="46">
        <f t="shared" si="43"/>
        <v>34087666</v>
      </c>
      <c r="F80" s="89">
        <f>85+341-85</f>
        <v>341</v>
      </c>
      <c r="G80" s="25">
        <f>256203+228991-256203</f>
        <v>228991</v>
      </c>
      <c r="H80" s="46">
        <f t="shared" si="44"/>
        <v>229332</v>
      </c>
      <c r="I80" s="129">
        <f t="shared" si="45"/>
        <v>34316998</v>
      </c>
      <c r="J80" s="89">
        <f>42048545+33855213+39405583+28449361-42048545-33855213</f>
        <v>67854944</v>
      </c>
      <c r="K80" s="46">
        <f t="shared" si="46"/>
        <v>102171942</v>
      </c>
      <c r="L80" s="84" t="s">
        <v>65</v>
      </c>
      <c r="M80" s="89">
        <f>4206155+2962351+872878+386843+1160711+7350647+4214606+13899+3647038+3352730+759226+340736+950149+6493299+1673858+184428-4206155-2962351-872878-386843-1160711-7350647-4214606-13899</f>
        <v>17401464</v>
      </c>
      <c r="N80" s="46">
        <f t="shared" si="47"/>
        <v>50453480</v>
      </c>
      <c r="O80" s="48">
        <f t="shared" si="48"/>
        <v>84770478</v>
      </c>
      <c r="P80" s="89">
        <v>0</v>
      </c>
      <c r="Q80" s="8">
        <f>10865780-11533219</f>
        <v>-667439</v>
      </c>
      <c r="R80" s="8">
        <f>9324558-9522833</f>
        <v>-198275</v>
      </c>
    </row>
    <row r="81" spans="1:19" x14ac:dyDescent="0.2">
      <c r="A81" s="83">
        <f>'FERC Interest Rates'!A96</f>
        <v>43921</v>
      </c>
      <c r="B81" s="25">
        <v>17635811</v>
      </c>
      <c r="C81" s="25">
        <f>14813025+1704966-1666428</f>
        <v>14851563</v>
      </c>
      <c r="D81" s="25">
        <v>1653844</v>
      </c>
      <c r="E81" s="46">
        <f t="shared" si="43"/>
        <v>34141218</v>
      </c>
      <c r="F81" s="89">
        <f>341+182-341</f>
        <v>182</v>
      </c>
      <c r="G81" s="25">
        <f>228991+229265-228991</f>
        <v>229265</v>
      </c>
      <c r="H81" s="46">
        <f t="shared" si="44"/>
        <v>229447</v>
      </c>
      <c r="I81" s="129">
        <f t="shared" si="45"/>
        <v>34370665</v>
      </c>
      <c r="J81" s="89">
        <f>39405583+28449361+41570855+46338286-39405583-28449361</f>
        <v>87909141</v>
      </c>
      <c r="K81" s="46">
        <f t="shared" si="46"/>
        <v>122279806</v>
      </c>
      <c r="L81" s="84" t="s">
        <v>65</v>
      </c>
      <c r="M81" s="89">
        <f>3647038+3352730+759226+340736+950149+6493299+1673858+184428+3745212+3019501+723268+363829+1112427+5630590+7553041+249821-3647038-3352730-759226-340736-950149-6493299-1673858-184428</f>
        <v>22397689</v>
      </c>
      <c r="N81" s="46">
        <f t="shared" si="47"/>
        <v>65511452</v>
      </c>
      <c r="O81" s="48">
        <f t="shared" si="48"/>
        <v>99882117</v>
      </c>
      <c r="P81" s="89">
        <v>0</v>
      </c>
      <c r="Q81" s="8">
        <f>8736040-10865780</f>
        <v>-2129740</v>
      </c>
      <c r="R81" s="8">
        <f>7368968-9324558</f>
        <v>-1955590</v>
      </c>
    </row>
    <row r="82" spans="1:19" x14ac:dyDescent="0.2">
      <c r="A82" s="83">
        <f>'FERC Interest Rates'!A97</f>
        <v>43951</v>
      </c>
      <c r="B82" s="25">
        <v>13930299</v>
      </c>
      <c r="C82" s="25">
        <f>11273875+1367515-1704966</f>
        <v>10936424</v>
      </c>
      <c r="D82" s="25">
        <v>1666184</v>
      </c>
      <c r="E82" s="46">
        <f t="shared" ref="E82" si="49">SUM(B82:D82)</f>
        <v>26532907</v>
      </c>
      <c r="F82" s="89">
        <f>182+193-182</f>
        <v>193</v>
      </c>
      <c r="G82" s="25">
        <f>229265+189521-229265</f>
        <v>189521</v>
      </c>
      <c r="H82" s="46">
        <f t="shared" ref="H82" si="50">SUM(F82:G82)</f>
        <v>189714</v>
      </c>
      <c r="I82" s="129">
        <f t="shared" ref="I82:I83" si="51">E82+H82</f>
        <v>26722621</v>
      </c>
      <c r="J82" s="89">
        <f>41570855+46338286+31527252+3270112+38601203-41570855-46338286</f>
        <v>73398567</v>
      </c>
      <c r="K82" s="46">
        <f t="shared" ref="K82" si="52">I82+J82</f>
        <v>100121188</v>
      </c>
      <c r="L82" s="84" t="s">
        <v>65</v>
      </c>
      <c r="M82" s="89">
        <f>3745212+3019501+723268+363829+1112427+5630590+7553041+249821+3270112+2756681+192062+280512+1144381+5477666+5121004+0-3745212-3019501-723268-363829-1112427-5630590-7553041-249821</f>
        <v>18242418</v>
      </c>
      <c r="N82" s="46">
        <f t="shared" ref="N82" si="53">J82-M82</f>
        <v>55156149</v>
      </c>
      <c r="O82" s="48">
        <f t="shared" ref="O82:O83" si="54">K82-M82</f>
        <v>81878770</v>
      </c>
      <c r="P82" s="89">
        <v>0</v>
      </c>
      <c r="Q82" s="8">
        <f>3624357-8736040</f>
        <v>-5111683</v>
      </c>
      <c r="R82" s="8">
        <f>2944986-7368968</f>
        <v>-4423982</v>
      </c>
    </row>
    <row r="83" spans="1:19" x14ac:dyDescent="0.2">
      <c r="A83" s="83">
        <f>'FERC Interest Rates'!A98</f>
        <v>43982</v>
      </c>
      <c r="B83" s="25">
        <v>6809502</v>
      </c>
      <c r="C83" s="25">
        <f>6036390+950937-1367515</f>
        <v>5619812</v>
      </c>
      <c r="D83" s="25">
        <v>936161</v>
      </c>
      <c r="E83" s="46">
        <f t="shared" si="43"/>
        <v>13365475</v>
      </c>
      <c r="F83" s="89">
        <f>193+0-193</f>
        <v>0</v>
      </c>
      <c r="G83" s="25">
        <f>189521+139474-189521</f>
        <v>139474</v>
      </c>
      <c r="H83" s="46">
        <f t="shared" si="44"/>
        <v>139474</v>
      </c>
      <c r="I83" s="129">
        <f t="shared" si="51"/>
        <v>13504949</v>
      </c>
      <c r="J83" s="89">
        <f>34797599+38601203+33875275+11777244-34797364-38601203</f>
        <v>45652754</v>
      </c>
      <c r="K83" s="46">
        <f t="shared" si="46"/>
        <v>59157703</v>
      </c>
      <c r="L83" s="84" t="s">
        <v>65</v>
      </c>
      <c r="M83" s="89">
        <f>3270112+2756681+192062+280512+1144381+5477666+5121004+0+2781081+435041+274097+1164457+7824547+506157+8254-3270112-2756681-192062-280512-1144381-5477666-5121004-0</f>
        <v>12993634</v>
      </c>
      <c r="N83" s="46">
        <f t="shared" si="47"/>
        <v>32659120</v>
      </c>
      <c r="O83" s="48">
        <f t="shared" si="54"/>
        <v>46164069</v>
      </c>
      <c r="P83" s="89">
        <v>0</v>
      </c>
      <c r="Q83" s="8">
        <f>2235478-3624357</f>
        <v>-1388879</v>
      </c>
      <c r="R83" s="8">
        <f>1984707-2944986</f>
        <v>-960279</v>
      </c>
    </row>
    <row r="84" spans="1:19" x14ac:dyDescent="0.2">
      <c r="A84" s="83">
        <f>'FERC Interest Rates'!A99</f>
        <v>44012</v>
      </c>
      <c r="B84" s="25">
        <v>5005480</v>
      </c>
      <c r="C84" s="25">
        <f>4615973+712185-950937</f>
        <v>4377221</v>
      </c>
      <c r="D84" s="25">
        <v>1070787</v>
      </c>
      <c r="E84" s="46">
        <f t="shared" si="43"/>
        <v>10453488</v>
      </c>
      <c r="F84" s="89">
        <f>0+0-0</f>
        <v>0</v>
      </c>
      <c r="G84" s="25">
        <f>139589+109390-139474</f>
        <v>109505</v>
      </c>
      <c r="H84" s="46">
        <f t="shared" si="44"/>
        <v>109505</v>
      </c>
      <c r="I84" s="129">
        <f t="shared" si="45"/>
        <v>10562993</v>
      </c>
      <c r="J84" s="89">
        <f>33875275+11777244+32945023+11408471-33875275-11777244</f>
        <v>44353494</v>
      </c>
      <c r="K84" s="46">
        <f t="shared" si="46"/>
        <v>54916487</v>
      </c>
      <c r="L84" s="84" t="s">
        <v>65</v>
      </c>
      <c r="M84" s="89">
        <f>2781081+435041+274097+1164457+7824547+506157+8254+3279559+679596+279356+1044539+6309798+0+39426-2781081-435041-274097-1164457-7824547-506157-8254</f>
        <v>11632274</v>
      </c>
      <c r="N84" s="46">
        <f t="shared" si="47"/>
        <v>32721220</v>
      </c>
      <c r="O84" s="48">
        <f t="shared" si="48"/>
        <v>43284213</v>
      </c>
      <c r="P84" s="89">
        <v>0</v>
      </c>
      <c r="Q84" s="8">
        <f>1199677-2235478</f>
        <v>-1035801</v>
      </c>
      <c r="R84" s="8">
        <f>1103980-1984707</f>
        <v>-880727</v>
      </c>
    </row>
    <row r="85" spans="1:19" x14ac:dyDescent="0.2">
      <c r="A85" s="83">
        <f>'FERC Interest Rates'!A100</f>
        <v>44043</v>
      </c>
      <c r="B85" s="25">
        <v>4024864</v>
      </c>
      <c r="C85" s="25">
        <f>4096953+670051-712185</f>
        <v>4054819</v>
      </c>
      <c r="D85" s="25">
        <v>897742</v>
      </c>
      <c r="E85" s="46">
        <f t="shared" si="43"/>
        <v>8977425</v>
      </c>
      <c r="F85" s="89">
        <f>0+0-0</f>
        <v>0</v>
      </c>
      <c r="G85" s="25">
        <f>109390+106383-109390</f>
        <v>106383</v>
      </c>
      <c r="H85" s="46">
        <f t="shared" si="44"/>
        <v>106383</v>
      </c>
      <c r="I85" s="129">
        <f t="shared" si="45"/>
        <v>9083808</v>
      </c>
      <c r="J85" s="89">
        <f>31448107+11408471+35454115+25707386-32945023-11408471</f>
        <v>59664585</v>
      </c>
      <c r="K85" s="46">
        <f t="shared" si="46"/>
        <v>68748393</v>
      </c>
      <c r="L85" s="84" t="s">
        <v>65</v>
      </c>
      <c r="M85" s="89">
        <f>3279559+679596+279356+1044539+6309798+0+39426+3353938+405992+286757+943601+6950239+1583529+134999-3279559-679596-279356-1044539-6309798-0-39426</f>
        <v>13659055</v>
      </c>
      <c r="N85" s="46">
        <f t="shared" si="47"/>
        <v>46005530</v>
      </c>
      <c r="O85" s="48">
        <f t="shared" si="48"/>
        <v>55089338</v>
      </c>
      <c r="P85" s="89">
        <v>0</v>
      </c>
      <c r="Q85" s="8">
        <f>786164-1199677</f>
        <v>-413513</v>
      </c>
      <c r="R85" s="8">
        <f>801207-1103980</f>
        <v>-302773</v>
      </c>
    </row>
    <row r="86" spans="1:19" x14ac:dyDescent="0.2">
      <c r="A86" s="83">
        <f>'FERC Interest Rates'!A101</f>
        <v>44074</v>
      </c>
      <c r="B86" s="25">
        <v>2732363</v>
      </c>
      <c r="C86" s="25">
        <f>3163765+629835-670051</f>
        <v>3123549</v>
      </c>
      <c r="D86" s="25">
        <v>796082</v>
      </c>
      <c r="E86" s="46">
        <f t="shared" si="43"/>
        <v>6651994</v>
      </c>
      <c r="F86" s="89">
        <v>0</v>
      </c>
      <c r="G86" s="25">
        <f>106383+100500-106383</f>
        <v>100500</v>
      </c>
      <c r="H86" s="46">
        <f t="shared" si="44"/>
        <v>100500</v>
      </c>
      <c r="I86" s="129">
        <f t="shared" si="45"/>
        <v>6752494</v>
      </c>
      <c r="J86" s="89">
        <f>35454115+25707386+37500454+40126389-35454115-25707386</f>
        <v>77626843</v>
      </c>
      <c r="K86" s="46">
        <f t="shared" si="46"/>
        <v>84379337</v>
      </c>
      <c r="L86" s="84" t="s">
        <v>65</v>
      </c>
      <c r="M86" s="89">
        <f>3353938+405992+286757+943601+6950239+1583529+134999+3281965+636243+367353+874186+8114039+4164341+77745-3353938-405992-286757-943601-6950239-1583529-134999</f>
        <v>17515872</v>
      </c>
      <c r="N86" s="46">
        <f t="shared" si="47"/>
        <v>60110971</v>
      </c>
      <c r="O86" s="48">
        <f t="shared" si="48"/>
        <v>66863465</v>
      </c>
      <c r="P86" s="89">
        <v>0</v>
      </c>
      <c r="Q86" s="8">
        <f>1291073-786164</f>
        <v>504909</v>
      </c>
      <c r="R86" s="8">
        <f>1497403-801207</f>
        <v>696196</v>
      </c>
    </row>
    <row r="87" spans="1:19" x14ac:dyDescent="0.2">
      <c r="A87" s="83">
        <f>'FERC Interest Rates'!A102</f>
        <v>44104</v>
      </c>
      <c r="B87" s="25">
        <v>2948480</v>
      </c>
      <c r="C87" s="25">
        <f>3400273+614151-629835</f>
        <v>3384589</v>
      </c>
      <c r="D87" s="25">
        <v>962564</v>
      </c>
      <c r="E87" s="46">
        <f t="shared" si="43"/>
        <v>7295633</v>
      </c>
      <c r="F87" s="89">
        <v>0</v>
      </c>
      <c r="G87" s="25">
        <f>100500+94559-100500</f>
        <v>94559</v>
      </c>
      <c r="H87" s="46">
        <f t="shared" si="44"/>
        <v>94559</v>
      </c>
      <c r="I87" s="129">
        <f t="shared" si="45"/>
        <v>7390192</v>
      </c>
      <c r="J87" s="89">
        <f>37529314+40126389+39506153+43641251-37500454-40126389</f>
        <v>83176264</v>
      </c>
      <c r="K87" s="46">
        <f t="shared" si="46"/>
        <v>90566456</v>
      </c>
      <c r="L87" s="84" t="s">
        <v>65</v>
      </c>
      <c r="M87" s="89">
        <f>3281965+636243+367353+874186+8114039+4164341+77745+3365190+645648+401241+882295+4984455+6516174+67903-3281965-636243-367353-874186-8114039-4164341-77745</f>
        <v>16862906</v>
      </c>
      <c r="N87" s="46">
        <f t="shared" si="47"/>
        <v>66313358</v>
      </c>
      <c r="O87" s="48">
        <f t="shared" si="48"/>
        <v>73703550</v>
      </c>
      <c r="P87" s="89">
        <v>0</v>
      </c>
      <c r="Q87" s="8">
        <f>1851788-1291073</f>
        <v>560715</v>
      </c>
      <c r="R87" s="8">
        <f>2130040-1497403</f>
        <v>632637</v>
      </c>
    </row>
    <row r="88" spans="1:19" x14ac:dyDescent="0.2">
      <c r="A88" s="156">
        <f>'FERC Interest Rates'!A103</f>
        <v>44135</v>
      </c>
      <c r="B88" s="28">
        <v>4232461</v>
      </c>
      <c r="C88" s="28">
        <f>4270259+37233-614151</f>
        <v>3693341</v>
      </c>
      <c r="D88" s="28">
        <v>1374749</v>
      </c>
      <c r="E88" s="47">
        <f t="shared" si="43"/>
        <v>9300551</v>
      </c>
      <c r="F88" s="55">
        <v>0</v>
      </c>
      <c r="G88" s="28">
        <f>94559+178840-94559</f>
        <v>178840</v>
      </c>
      <c r="H88" s="47">
        <f t="shared" si="44"/>
        <v>178840</v>
      </c>
      <c r="I88" s="130">
        <f t="shared" si="45"/>
        <v>9479391</v>
      </c>
      <c r="J88" s="55">
        <f>39551688+43641251+42265094+27835999-39506153-43641251</f>
        <v>70146628</v>
      </c>
      <c r="K88" s="47">
        <f t="shared" si="46"/>
        <v>79626019</v>
      </c>
      <c r="L88" s="116" t="s">
        <v>65</v>
      </c>
      <c r="M88" s="55">
        <f>3365190+645648+401241+882295+4984455+6516174+67903+3222482+801554+429333+967135+7330347+1133014+54670-3365190-645648-401241-882295-4984455-6516174-67903</f>
        <v>13938535</v>
      </c>
      <c r="N88" s="47">
        <f t="shared" si="47"/>
        <v>56208093</v>
      </c>
      <c r="O88" s="49">
        <f t="shared" si="48"/>
        <v>65687484</v>
      </c>
      <c r="P88" s="55">
        <v>0</v>
      </c>
      <c r="Q88" s="117">
        <f>5866478-1851788</f>
        <v>4014690</v>
      </c>
      <c r="R88" s="117">
        <f>5961158-2130040</f>
        <v>3831118</v>
      </c>
    </row>
    <row r="89" spans="1:19" x14ac:dyDescent="0.2">
      <c r="A89" s="83">
        <f>'FERC Interest Rates'!A104</f>
        <v>44165</v>
      </c>
      <c r="B89" s="25">
        <v>10451912</v>
      </c>
      <c r="C89" s="25">
        <f>7364502+78623-37233</f>
        <v>7405892</v>
      </c>
      <c r="D89" s="25">
        <v>1202769</v>
      </c>
      <c r="E89" s="46">
        <f t="shared" si="43"/>
        <v>19060573</v>
      </c>
      <c r="F89" s="89">
        <f>0+0-0</f>
        <v>0</v>
      </c>
      <c r="G89" s="25">
        <f>178840+220318-178840</f>
        <v>220318</v>
      </c>
      <c r="H89" s="46">
        <f t="shared" ref="H89:H100" si="55">SUM(F89:G89)</f>
        <v>220318</v>
      </c>
      <c r="I89" s="129">
        <f t="shared" ref="I89:I100" si="56">E89+H89</f>
        <v>19280891</v>
      </c>
      <c r="J89" s="89">
        <f>42222057+27835999+44035619+18336869-42265094-27835999</f>
        <v>62329451</v>
      </c>
      <c r="K89" s="46">
        <f t="shared" ref="K89:K100" si="57">I89+J89</f>
        <v>81610342</v>
      </c>
      <c r="L89" s="84" t="s">
        <v>65</v>
      </c>
      <c r="M89" s="89">
        <f>3222482+801554+429333+967135+7330347+1133014+54670+3733619+658635+457902+981664+7462302+18635+3797-3222482-801554-429333-967135-7330347-1133014-54670</f>
        <v>13316554</v>
      </c>
      <c r="N89" s="46">
        <f t="shared" ref="N89:N100" si="58">J89-M89</f>
        <v>49012897</v>
      </c>
      <c r="O89" s="48">
        <f t="shared" ref="O89:O100" si="59">K89-M89</f>
        <v>68293788</v>
      </c>
      <c r="P89" s="89">
        <v>0</v>
      </c>
      <c r="Q89" s="8">
        <f>12357910-5866478</f>
        <v>6491432</v>
      </c>
      <c r="R89" s="8">
        <f>8615743-5961158</f>
        <v>2654585</v>
      </c>
      <c r="S89" s="1" t="s">
        <v>146</v>
      </c>
    </row>
    <row r="90" spans="1:19" x14ac:dyDescent="0.2">
      <c r="A90" s="83">
        <f>'FERC Interest Rates'!A105</f>
        <v>44196</v>
      </c>
      <c r="B90" s="25">
        <v>18475354</v>
      </c>
      <c r="C90" s="25">
        <f>13479796+160193-78623</f>
        <v>13561366</v>
      </c>
      <c r="D90" s="25">
        <v>1776301</v>
      </c>
      <c r="E90" s="46">
        <f t="shared" si="43"/>
        <v>33813021</v>
      </c>
      <c r="F90" s="89">
        <v>0</v>
      </c>
      <c r="G90" s="25">
        <f>220318+244469-220318</f>
        <v>244469</v>
      </c>
      <c r="H90" s="46">
        <f t="shared" si="55"/>
        <v>244469</v>
      </c>
      <c r="I90" s="129">
        <f t="shared" si="56"/>
        <v>34057490</v>
      </c>
      <c r="J90" s="89">
        <f>43645769+18336869+43599327+32725551-44035619-18336869</f>
        <v>75935028</v>
      </c>
      <c r="K90" s="46">
        <f t="shared" si="57"/>
        <v>109992518</v>
      </c>
      <c r="L90" s="84" t="s">
        <v>65</v>
      </c>
      <c r="M90" s="89">
        <f>3733619+658635+457902+981664+7462302+18635+3797+3961371+531780+434089+1038258+8629459+801796+0-3733619-658635-457902-981664-7462302-18635-3797</f>
        <v>15396753</v>
      </c>
      <c r="N90" s="46">
        <f t="shared" si="58"/>
        <v>60538275</v>
      </c>
      <c r="O90" s="48">
        <f t="shared" si="59"/>
        <v>94595765</v>
      </c>
      <c r="P90" s="89">
        <v>0</v>
      </c>
      <c r="Q90" s="8">
        <f>13204857-12357910</f>
        <v>846947</v>
      </c>
      <c r="R90" s="8">
        <f>9569772-8615743</f>
        <v>954029</v>
      </c>
    </row>
    <row r="91" spans="1:19" x14ac:dyDescent="0.2">
      <c r="A91" s="83">
        <f>'FERC Interest Rates'!A106</f>
        <v>44227</v>
      </c>
      <c r="B91" s="25">
        <v>19685299</v>
      </c>
      <c r="C91" s="25">
        <f>14382919+99979-160193</f>
        <v>14322705</v>
      </c>
      <c r="D91" s="25">
        <v>1695848</v>
      </c>
      <c r="E91" s="46">
        <f t="shared" si="43"/>
        <v>35703852</v>
      </c>
      <c r="F91" s="89">
        <v>0</v>
      </c>
      <c r="G91" s="25">
        <f>244469+248648-244469</f>
        <v>248648</v>
      </c>
      <c r="H91" s="46">
        <f t="shared" si="55"/>
        <v>248648</v>
      </c>
      <c r="I91" s="129">
        <f t="shared" si="56"/>
        <v>35952500</v>
      </c>
      <c r="J91" s="89">
        <f>43599327+32725551+45719530+25537457-43599327-32725551</f>
        <v>71256987</v>
      </c>
      <c r="K91" s="46">
        <f t="shared" si="57"/>
        <v>107209487</v>
      </c>
      <c r="L91" s="84" t="s">
        <v>65</v>
      </c>
      <c r="M91" s="89">
        <f>3961371+531780+434089+1038258+8629459+801796+0+3811005+784731+530523+1058820+7760458+392+0-3961371-531780-434089-1038258-8629459-801796-0</f>
        <v>13945929</v>
      </c>
      <c r="N91" s="46">
        <f t="shared" si="58"/>
        <v>57311058</v>
      </c>
      <c r="O91" s="48">
        <f t="shared" si="59"/>
        <v>93263558</v>
      </c>
      <c r="P91" s="89">
        <v>0</v>
      </c>
      <c r="Q91" s="8">
        <f>12651421-13204857</f>
        <v>-553436</v>
      </c>
      <c r="R91" s="8">
        <f>9206386-9569772</f>
        <v>-363386</v>
      </c>
    </row>
    <row r="92" spans="1:19" x14ac:dyDescent="0.2">
      <c r="A92" s="83">
        <f>'FERC Interest Rates'!A107</f>
        <v>44255</v>
      </c>
      <c r="B92" s="25">
        <v>18599534</v>
      </c>
      <c r="C92" s="25">
        <f>13476521+94958-99979</f>
        <v>13471500</v>
      </c>
      <c r="D92" s="25">
        <v>1598634</v>
      </c>
      <c r="E92" s="46">
        <f t="shared" si="43"/>
        <v>33669668</v>
      </c>
      <c r="F92" s="89">
        <v>0</v>
      </c>
      <c r="G92" s="25">
        <f>248648+239855-248648</f>
        <v>239855</v>
      </c>
      <c r="H92" s="46">
        <f t="shared" si="55"/>
        <v>239855</v>
      </c>
      <c r="I92" s="129">
        <f t="shared" si="56"/>
        <v>33909523</v>
      </c>
      <c r="J92" s="89">
        <f>45858410+25537457+41514070+25473750-45719530-25537457</f>
        <v>67126700</v>
      </c>
      <c r="K92" s="46">
        <f t="shared" si="57"/>
        <v>101036223</v>
      </c>
      <c r="L92" s="84" t="s">
        <v>65</v>
      </c>
      <c r="M92" s="89">
        <f>3811005+784731+530523+1058820+7760458+392+0+3364783+632596+377681+1028372+7001034+1613489+22799-3811005-784731-530523-1058820-7760458-392-0</f>
        <v>14040754</v>
      </c>
      <c r="N92" s="46">
        <f t="shared" si="58"/>
        <v>53085946</v>
      </c>
      <c r="O92" s="48">
        <f t="shared" si="59"/>
        <v>86995469</v>
      </c>
      <c r="P92" s="89">
        <v>0</v>
      </c>
      <c r="Q92" s="8">
        <f>13677184-12651421</f>
        <v>1025763</v>
      </c>
      <c r="R92" s="8">
        <f>9876392-9206386</f>
        <v>670006</v>
      </c>
    </row>
    <row r="93" spans="1:19" x14ac:dyDescent="0.2">
      <c r="A93" s="83">
        <f>'FERC Interest Rates'!A108</f>
        <v>44286</v>
      </c>
      <c r="B93" s="25">
        <v>19676756</v>
      </c>
      <c r="C93" s="25">
        <f>14680196+62188-94958</f>
        <v>14647426</v>
      </c>
      <c r="D93" s="25">
        <v>1818843</v>
      </c>
      <c r="E93" s="46">
        <f t="shared" si="43"/>
        <v>36143025</v>
      </c>
      <c r="F93" s="89">
        <v>0</v>
      </c>
      <c r="G93" s="25">
        <f>238893+235545-239855</f>
        <v>234583</v>
      </c>
      <c r="H93" s="46">
        <f t="shared" si="55"/>
        <v>234583</v>
      </c>
      <c r="I93" s="129">
        <f t="shared" si="56"/>
        <v>36377608</v>
      </c>
      <c r="J93" s="89">
        <f>41507244+25473750+44368952+41013439-41514070-25473750</f>
        <v>85375565</v>
      </c>
      <c r="K93" s="46">
        <f t="shared" si="57"/>
        <v>121753173</v>
      </c>
      <c r="L93" s="84" t="s">
        <v>65</v>
      </c>
      <c r="M93" s="89">
        <f>3364783+632596+377681+1028372+7001034+1613489+22799+3445221+731231+344914+1102778+8979413+3832585+108012-3364783-632596-377681-1028372-7001034-1613489-22799</f>
        <v>18544154</v>
      </c>
      <c r="N93" s="46">
        <f t="shared" si="58"/>
        <v>66831411</v>
      </c>
      <c r="O93" s="48">
        <f t="shared" si="59"/>
        <v>103209019</v>
      </c>
      <c r="P93" s="89">
        <v>0</v>
      </c>
      <c r="Q93" s="8">
        <f>8870023-13677184</f>
        <v>-4807161</v>
      </c>
      <c r="R93" s="8">
        <f>6599492-9876392</f>
        <v>-3276900</v>
      </c>
    </row>
    <row r="94" spans="1:19" x14ac:dyDescent="0.2">
      <c r="A94" s="83">
        <f>'FERC Interest Rates'!A109</f>
        <v>44316</v>
      </c>
      <c r="B94" s="25">
        <v>13567783</v>
      </c>
      <c r="C94" s="25">
        <f>10315166+37926-62188</f>
        <v>10290904</v>
      </c>
      <c r="D94" s="25">
        <v>1493168</v>
      </c>
      <c r="E94" s="46">
        <f t="shared" si="43"/>
        <v>25351855</v>
      </c>
      <c r="F94" s="89">
        <v>0</v>
      </c>
      <c r="G94" s="25">
        <f>235545+180576-235545</f>
        <v>180576</v>
      </c>
      <c r="H94" s="46">
        <f t="shared" si="55"/>
        <v>180576</v>
      </c>
      <c r="I94" s="129">
        <f t="shared" si="56"/>
        <v>25532431</v>
      </c>
      <c r="J94" s="89">
        <f>44368952+41013439+41719641+36076368-44368952-41013439</f>
        <v>77796009</v>
      </c>
      <c r="K94" s="46">
        <f t="shared" si="57"/>
        <v>103328440</v>
      </c>
      <c r="L94" s="84" t="s">
        <v>65</v>
      </c>
      <c r="M94" s="89">
        <f>3445221+731231+344914+1102778+8979413+3832585+108012+3529385+651362+244382+1083614+5907169+2326616+4777-3445221-731231-344914-1102778-8979413-3832585-108012</f>
        <v>13747305</v>
      </c>
      <c r="N94" s="46">
        <f t="shared" si="58"/>
        <v>64048704</v>
      </c>
      <c r="O94" s="48">
        <f t="shared" si="59"/>
        <v>89581135</v>
      </c>
      <c r="P94" s="89">
        <v>0</v>
      </c>
      <c r="Q94" s="8">
        <f>3671024-8870023</f>
        <v>-5198999</v>
      </c>
      <c r="R94" s="8">
        <f>2779511-6599492</f>
        <v>-3819981</v>
      </c>
    </row>
    <row r="95" spans="1:19" x14ac:dyDescent="0.2">
      <c r="A95" s="83">
        <f>'FERC Interest Rates'!A110</f>
        <v>44347</v>
      </c>
      <c r="B95" s="25">
        <v>6623364</v>
      </c>
      <c r="C95" s="25">
        <f>5587343+26515-37926</f>
        <v>5575932</v>
      </c>
      <c r="D95" s="25">
        <v>966305</v>
      </c>
      <c r="E95" s="46">
        <f t="shared" si="43"/>
        <v>13165601</v>
      </c>
      <c r="F95" s="89">
        <v>0</v>
      </c>
      <c r="G95" s="25">
        <f>180576+143789-180576</f>
        <v>143789</v>
      </c>
      <c r="H95" s="46">
        <f t="shared" si="55"/>
        <v>143789</v>
      </c>
      <c r="I95" s="129">
        <f t="shared" si="56"/>
        <v>13309390</v>
      </c>
      <c r="J95" s="89">
        <f>41719641+36076368+39005344+21435217-41719641-36076368</f>
        <v>60440561</v>
      </c>
      <c r="K95" s="46">
        <f t="shared" si="57"/>
        <v>73749951</v>
      </c>
      <c r="L95" s="84" t="s">
        <v>65</v>
      </c>
      <c r="M95" s="89">
        <f>3529385+651362+244382+1083614+5907169+2326616+4777+2947295+496918+305268+1112584+5745936+6639387+274441-3529385-651362-244382-1083614-5907169-2326616-4777</f>
        <v>17521829</v>
      </c>
      <c r="N95" s="46">
        <f t="shared" si="58"/>
        <v>42918732</v>
      </c>
      <c r="O95" s="48">
        <f t="shared" si="59"/>
        <v>56228122</v>
      </c>
      <c r="P95" s="89">
        <v>0</v>
      </c>
      <c r="Q95" s="8">
        <f>2344541-3671024</f>
        <v>-1326483</v>
      </c>
      <c r="R95" s="8">
        <f>1966052-2779511</f>
        <v>-813459</v>
      </c>
    </row>
    <row r="96" spans="1:19" x14ac:dyDescent="0.2">
      <c r="A96" s="83">
        <f>'FERC Interest Rates'!A111</f>
        <v>44377</v>
      </c>
      <c r="B96" s="25">
        <v>5165480</v>
      </c>
      <c r="C96" s="25">
        <f>4550614+5091-26515</f>
        <v>4529190</v>
      </c>
      <c r="D96" s="25">
        <v>1033233</v>
      </c>
      <c r="E96" s="46">
        <f t="shared" si="43"/>
        <v>10727903</v>
      </c>
      <c r="F96" s="89">
        <v>0</v>
      </c>
      <c r="G96" s="25">
        <f>143789+104510-143789</f>
        <v>104510</v>
      </c>
      <c r="H96" s="46">
        <f t="shared" si="55"/>
        <v>104510</v>
      </c>
      <c r="I96" s="129">
        <f t="shared" si="56"/>
        <v>10832413</v>
      </c>
      <c r="J96" s="89">
        <f>39005344+21435217+37655335+37862933-39005344-21435217</f>
        <v>75518268</v>
      </c>
      <c r="K96" s="46">
        <f t="shared" si="57"/>
        <v>86350681</v>
      </c>
      <c r="L96" s="84" t="s">
        <v>65</v>
      </c>
      <c r="M96" s="89">
        <f>2947295+496918+305268+1112584+5745936+6639387+274441+3187034+456697+220613+1091768+7240174+5347779+27594-2947295-496918-305268-1112584-5745936-6639387-274441</f>
        <v>17571659</v>
      </c>
      <c r="N96" s="46">
        <f t="shared" si="58"/>
        <v>57946609</v>
      </c>
      <c r="O96" s="48">
        <f t="shared" si="59"/>
        <v>68779022</v>
      </c>
      <c r="P96" s="89">
        <v>0</v>
      </c>
      <c r="Q96" s="8">
        <f>339559-2344541</f>
        <v>-2004982</v>
      </c>
      <c r="R96" s="8">
        <f>296580-1966052</f>
        <v>-1669472</v>
      </c>
    </row>
    <row r="97" spans="1:19" x14ac:dyDescent="0.2">
      <c r="A97" s="83">
        <f>'FERC Interest Rates'!A112</f>
        <v>44408</v>
      </c>
      <c r="B97" s="25">
        <v>3043741</v>
      </c>
      <c r="C97" s="25">
        <f>3066602+4542-5091</f>
        <v>3066053</v>
      </c>
      <c r="D97" s="25">
        <v>756419</v>
      </c>
      <c r="E97" s="46">
        <f t="shared" si="43"/>
        <v>6866213</v>
      </c>
      <c r="F97" s="89">
        <v>0</v>
      </c>
      <c r="G97" s="25">
        <f>104510+88811-104510</f>
        <v>88811</v>
      </c>
      <c r="H97" s="46">
        <f t="shared" si="55"/>
        <v>88811</v>
      </c>
      <c r="I97" s="129">
        <f t="shared" si="56"/>
        <v>6955024</v>
      </c>
      <c r="J97" s="89">
        <f>37655335+37862933+34670917+50814614-37655335-37862933</f>
        <v>85485531</v>
      </c>
      <c r="K97" s="46">
        <f t="shared" si="57"/>
        <v>92440555</v>
      </c>
      <c r="L97" s="84" t="s">
        <v>65</v>
      </c>
      <c r="M97" s="89">
        <f>3187034+456697+220613+1091768+7240174+5347779+27594+3150229+589887+231899+1057703+7874655+6774098+626809-3187034-456697-220613-1091768-7240174-5347779-27594</f>
        <v>20305280</v>
      </c>
      <c r="N97" s="46">
        <f t="shared" si="58"/>
        <v>65180251</v>
      </c>
      <c r="O97" s="48">
        <f t="shared" si="59"/>
        <v>72135275</v>
      </c>
      <c r="P97" s="89">
        <v>0</v>
      </c>
      <c r="Q97" s="8">
        <f>1242836-339559</f>
        <v>903277</v>
      </c>
      <c r="R97" s="8">
        <f>1248224-296580</f>
        <v>951644</v>
      </c>
    </row>
    <row r="98" spans="1:19" x14ac:dyDescent="0.2">
      <c r="A98" s="83">
        <f>'FERC Interest Rates'!A113</f>
        <v>44439</v>
      </c>
      <c r="B98" s="25">
        <v>2658664</v>
      </c>
      <c r="C98" s="25">
        <f>2878084+5411-4542</f>
        <v>2878953</v>
      </c>
      <c r="D98" s="25">
        <v>781119</v>
      </c>
      <c r="E98" s="46">
        <f t="shared" si="43"/>
        <v>6318736</v>
      </c>
      <c r="F98" s="89">
        <v>0</v>
      </c>
      <c r="G98" s="25">
        <f>88811+103033-88811</f>
        <v>103033</v>
      </c>
      <c r="H98" s="46">
        <f t="shared" si="55"/>
        <v>103033</v>
      </c>
      <c r="I98" s="129">
        <f t="shared" si="56"/>
        <v>6421769</v>
      </c>
      <c r="J98" s="89">
        <f>34670917+50814614+35431401+51134914-34670917-50814614</f>
        <v>86566315</v>
      </c>
      <c r="K98" s="46">
        <f t="shared" si="57"/>
        <v>92988084</v>
      </c>
      <c r="L98" s="84" t="s">
        <v>65</v>
      </c>
      <c r="M98" s="89">
        <f>3150229+589887+231899+1057703+7874655+6774098+626809+3198929+639207+263338+977831+8756668+7028098+1359828-3150229-589887-231899-1057703-7874655-6774098-626809</f>
        <v>22223899</v>
      </c>
      <c r="N98" s="46">
        <f t="shared" si="58"/>
        <v>64342416</v>
      </c>
      <c r="O98" s="48">
        <f t="shared" si="59"/>
        <v>70764185</v>
      </c>
      <c r="P98" s="89">
        <v>0</v>
      </c>
      <c r="Q98" s="8">
        <f>1319541-1242836</f>
        <v>76705</v>
      </c>
      <c r="R98" s="8">
        <f>1411426-1248224</f>
        <v>163202</v>
      </c>
    </row>
    <row r="99" spans="1:19" x14ac:dyDescent="0.2">
      <c r="A99" s="83">
        <f>'FERC Interest Rates'!A114</f>
        <v>44469</v>
      </c>
      <c r="B99" s="25">
        <v>3024586</v>
      </c>
      <c r="C99" s="25">
        <f>3108907+6417-5411</f>
        <v>3109913</v>
      </c>
      <c r="D99" s="25">
        <v>877970</v>
      </c>
      <c r="E99" s="46">
        <f t="shared" si="43"/>
        <v>7012469</v>
      </c>
      <c r="F99" s="89">
        <v>0</v>
      </c>
      <c r="G99" s="25">
        <f>103033+127498-103033</f>
        <v>127498</v>
      </c>
      <c r="H99" s="46">
        <f t="shared" si="55"/>
        <v>127498</v>
      </c>
      <c r="I99" s="129">
        <f t="shared" si="56"/>
        <v>7139967</v>
      </c>
      <c r="J99" s="89">
        <f>35446988+51134914+37269105+47984893-35431401-51134914</f>
        <v>85269585</v>
      </c>
      <c r="K99" s="46">
        <f t="shared" si="57"/>
        <v>92409552</v>
      </c>
      <c r="L99" s="84" t="s">
        <v>65</v>
      </c>
      <c r="M99" s="89">
        <f>3198929+639207+263338+977831+8756668+7028098+1359828+3209502+603823+243842+985969+7797525+7613521+91332-3198929-639207-263338-977831-8756668-7028098-1359828</f>
        <v>20545514</v>
      </c>
      <c r="N99" s="46">
        <f t="shared" si="58"/>
        <v>64724071</v>
      </c>
      <c r="O99" s="48">
        <f t="shared" si="59"/>
        <v>71864038</v>
      </c>
      <c r="P99" s="89">
        <v>0</v>
      </c>
      <c r="Q99" s="8">
        <f>2292851-1319541</f>
        <v>973310</v>
      </c>
      <c r="R99" s="8">
        <f>2330127-1411426</f>
        <v>918701</v>
      </c>
    </row>
    <row r="100" spans="1:19" x14ac:dyDescent="0.2">
      <c r="A100" s="156">
        <f>'FERC Interest Rates'!A115</f>
        <v>44500</v>
      </c>
      <c r="B100" s="28">
        <v>5302722</v>
      </c>
      <c r="C100" s="28">
        <f>4472542+35202-6417</f>
        <v>4501327</v>
      </c>
      <c r="D100" s="28">
        <v>1554148</v>
      </c>
      <c r="E100" s="47">
        <f t="shared" si="43"/>
        <v>11358197</v>
      </c>
      <c r="F100" s="55">
        <v>0</v>
      </c>
      <c r="G100" s="28">
        <f>127498+188282-127498</f>
        <v>188282</v>
      </c>
      <c r="H100" s="47">
        <f t="shared" si="55"/>
        <v>188282</v>
      </c>
      <c r="I100" s="130">
        <f t="shared" si="56"/>
        <v>11546479</v>
      </c>
      <c r="J100" s="55">
        <f>37294793+48203521+41769837+34510098-37269105-47984893</f>
        <v>76524251</v>
      </c>
      <c r="K100" s="47">
        <f t="shared" si="57"/>
        <v>88070730</v>
      </c>
      <c r="L100" s="116" t="s">
        <v>65</v>
      </c>
      <c r="M100" s="55">
        <f>3209502+603823+243842+985969+7797525+7613521+91332+3489129+715779+352263+1090501+8044363+2039975+0-3209502-603823-243842-985969-7797525-7613521-91332</f>
        <v>15732010</v>
      </c>
      <c r="N100" s="47">
        <f t="shared" si="58"/>
        <v>60792241</v>
      </c>
      <c r="O100" s="49">
        <f t="shared" si="59"/>
        <v>72338720</v>
      </c>
      <c r="P100" s="55">
        <v>0</v>
      </c>
      <c r="Q100" s="117">
        <f>6025339-2292851</f>
        <v>3732488</v>
      </c>
      <c r="R100" s="117">
        <f>5048872-2330127</f>
        <v>2718745</v>
      </c>
    </row>
    <row r="101" spans="1:19" x14ac:dyDescent="0.2">
      <c r="A101" s="83">
        <f>'FERC Interest Rates'!A116</f>
        <v>44530</v>
      </c>
      <c r="B101" s="25">
        <v>9930569</v>
      </c>
      <c r="C101" s="25">
        <f>7306366+85868-35202</f>
        <v>7357032</v>
      </c>
      <c r="D101" s="25">
        <v>1301076</v>
      </c>
      <c r="E101" s="46">
        <f t="shared" ref="E101" si="60">SUM(B101:D101)</f>
        <v>18588677</v>
      </c>
      <c r="F101" s="89">
        <v>0</v>
      </c>
      <c r="G101" s="25">
        <f>188282+215369-188282</f>
        <v>215369</v>
      </c>
      <c r="H101" s="46">
        <f t="shared" ref="H101" si="61">SUM(F101:G101)</f>
        <v>215369</v>
      </c>
      <c r="I101" s="129">
        <f t="shared" ref="I101" si="62">E101+H101</f>
        <v>18804046</v>
      </c>
      <c r="J101" s="89">
        <f>41769837+34816007+40218257+32156027-41769837-34510098</f>
        <v>72680193</v>
      </c>
      <c r="K101" s="46">
        <f t="shared" ref="K101" si="63">I101+J101</f>
        <v>91484239</v>
      </c>
      <c r="L101" s="84" t="s">
        <v>65</v>
      </c>
      <c r="M101" s="89">
        <f>3489129+715779+352263+1090501+8044363+2039975+0+3533155+694755+347700+963439+8163208+1976757+83980-3489129-715779-352263-1090501-8044363-2039975-0</f>
        <v>15762994</v>
      </c>
      <c r="N101" s="46">
        <f t="shared" ref="N101" si="64">J101-M101</f>
        <v>56917199</v>
      </c>
      <c r="O101" s="48">
        <f t="shared" ref="O101" si="65">K101-M101</f>
        <v>75721245</v>
      </c>
      <c r="P101" s="89">
        <v>0</v>
      </c>
      <c r="Q101" s="8">
        <f>11107830-6025339</f>
        <v>5082491</v>
      </c>
      <c r="R101" s="8">
        <f>8093139-5048872</f>
        <v>3044267</v>
      </c>
      <c r="S101" s="1" t="s">
        <v>146</v>
      </c>
    </row>
    <row r="102" spans="1:19" x14ac:dyDescent="0.2">
      <c r="A102" s="83">
        <f>'FERC Interest Rates'!A117</f>
        <v>44561</v>
      </c>
      <c r="B102" s="25">
        <v>16399782</v>
      </c>
      <c r="C102" s="25">
        <f>12002568+115624-85868</f>
        <v>12032324</v>
      </c>
      <c r="D102" s="25">
        <v>1828809</v>
      </c>
      <c r="E102" s="46">
        <f t="shared" ref="E102:E111" si="66">SUM(B102:D102)</f>
        <v>30260915</v>
      </c>
      <c r="F102" s="89">
        <v>0</v>
      </c>
      <c r="G102" s="25">
        <f>215369+271190-215369</f>
        <v>271190</v>
      </c>
      <c r="H102" s="46">
        <f t="shared" ref="H102:H111" si="67">SUM(F102:G102)</f>
        <v>271190</v>
      </c>
      <c r="I102" s="129">
        <f t="shared" ref="I102:I111" si="68">E102+H102</f>
        <v>30532105</v>
      </c>
      <c r="J102" s="89">
        <f>40218257+32156027+40881816+32657280-40218257-32156027</f>
        <v>73539096</v>
      </c>
      <c r="K102" s="46">
        <f t="shared" ref="K102:K111" si="69">I102+J102</f>
        <v>104071201</v>
      </c>
      <c r="L102" s="84" t="s">
        <v>65</v>
      </c>
      <c r="M102" s="89">
        <f>3533155+694755+347700+963439+8163208+1976757+83980+4107572+589753+414872+1150132+647984+9954381+3235802+43983-3533155-694755-347700-963439-8163208-1976757-83980</f>
        <v>20144479</v>
      </c>
      <c r="N102" s="46">
        <f t="shared" ref="N102:N111" si="70">J102-M102</f>
        <v>53394617</v>
      </c>
      <c r="O102" s="48">
        <f t="shared" ref="O102:O111" si="71">K102-M102</f>
        <v>83926722</v>
      </c>
      <c r="P102" s="89">
        <v>0</v>
      </c>
      <c r="Q102" s="8">
        <f>18737908-11107830</f>
        <v>7630078</v>
      </c>
      <c r="R102" s="8">
        <f>13620124-8093139</f>
        <v>5526985</v>
      </c>
    </row>
    <row r="103" spans="1:19" x14ac:dyDescent="0.2">
      <c r="A103" s="83">
        <f>'FERC Interest Rates'!A118</f>
        <v>44592</v>
      </c>
      <c r="B103" s="25">
        <v>25738243</v>
      </c>
      <c r="C103" s="25">
        <f>19228952+262656-115624</f>
        <v>19375984</v>
      </c>
      <c r="D103" s="25">
        <v>2208025</v>
      </c>
      <c r="E103" s="46">
        <f t="shared" si="66"/>
        <v>47322252</v>
      </c>
      <c r="F103" s="89">
        <v>0</v>
      </c>
      <c r="G103" s="25">
        <f>271190+257267-271190</f>
        <v>257267</v>
      </c>
      <c r="H103" s="46">
        <f t="shared" si="67"/>
        <v>257267</v>
      </c>
      <c r="I103" s="129">
        <f t="shared" si="68"/>
        <v>47579519</v>
      </c>
      <c r="J103" s="89">
        <f>40889559+32657280+46532259+19465702-40881816-32657280</f>
        <v>66005704</v>
      </c>
      <c r="K103" s="46">
        <f t="shared" si="69"/>
        <v>113585223</v>
      </c>
      <c r="L103" s="84" t="s">
        <v>65</v>
      </c>
      <c r="M103" s="89">
        <f>4107572+589753+414872+1150132+647984+9954381+3235802+43983+4311103+736280+456725+1244873+638281+9719150+1057680+8109-4107572-589753-414872-1150132-647984-9954381-3235802-43983</f>
        <v>18172201</v>
      </c>
      <c r="N103" s="46">
        <f t="shared" si="70"/>
        <v>47833503</v>
      </c>
      <c r="O103" s="48">
        <f t="shared" si="71"/>
        <v>95413022</v>
      </c>
      <c r="P103" s="89">
        <v>0</v>
      </c>
      <c r="Q103" s="8">
        <f>16216782-18737908</f>
        <v>-2521126</v>
      </c>
      <c r="R103" s="8">
        <f>12043276-13620124</f>
        <v>-1576848</v>
      </c>
    </row>
    <row r="104" spans="1:19" x14ac:dyDescent="0.2">
      <c r="A104" s="83">
        <f>'FERC Interest Rates'!A119</f>
        <v>44620</v>
      </c>
      <c r="B104" s="25">
        <v>19530273</v>
      </c>
      <c r="C104" s="25">
        <f>15369710+139791-262656</f>
        <v>15246845</v>
      </c>
      <c r="D104" s="25">
        <v>1803654</v>
      </c>
      <c r="E104" s="46">
        <f t="shared" si="66"/>
        <v>36580772</v>
      </c>
      <c r="F104" s="89">
        <v>0</v>
      </c>
      <c r="G104" s="25">
        <f>257267+227538-257267</f>
        <v>227538</v>
      </c>
      <c r="H104" s="46">
        <f t="shared" si="67"/>
        <v>227538</v>
      </c>
      <c r="I104" s="129">
        <f t="shared" si="68"/>
        <v>36808310</v>
      </c>
      <c r="J104" s="89">
        <f>46698602+19465702+41763450+21989878-46532259-19465702</f>
        <v>63919671</v>
      </c>
      <c r="K104" s="46">
        <f t="shared" si="69"/>
        <v>100727981</v>
      </c>
      <c r="L104" s="84" t="s">
        <v>65</v>
      </c>
      <c r="M104" s="89">
        <f>4311103+736280+456725+1244873+638281+9719150+1057680+8109+4034894+673405+388059+1097465+568224+7919514+1019658+9521-4311103-736280-456725-1244873-638281-9719150-1057680-8109</f>
        <v>15710740</v>
      </c>
      <c r="N104" s="46">
        <f t="shared" si="70"/>
        <v>48208931</v>
      </c>
      <c r="O104" s="48">
        <f t="shared" si="71"/>
        <v>85017241</v>
      </c>
      <c r="P104" s="89">
        <v>0</v>
      </c>
      <c r="Q104" s="8">
        <f>14253820-16216782</f>
        <v>-1962962</v>
      </c>
      <c r="R104" s="8">
        <f>11169111-12043276</f>
        <v>-874165</v>
      </c>
    </row>
    <row r="105" spans="1:19" x14ac:dyDescent="0.2">
      <c r="A105" s="156">
        <f>'FERC Interest Rates'!A120</f>
        <v>44651</v>
      </c>
      <c r="B105" s="28">
        <v>18863108</v>
      </c>
      <c r="C105" s="28">
        <f>14792921+93876-139791</f>
        <v>14747006</v>
      </c>
      <c r="D105" s="28">
        <v>2052506</v>
      </c>
      <c r="E105" s="47">
        <f t="shared" si="66"/>
        <v>35662620</v>
      </c>
      <c r="F105" s="55">
        <v>0</v>
      </c>
      <c r="G105" s="28">
        <f>227538+220931-227538</f>
        <v>220931</v>
      </c>
      <c r="H105" s="47">
        <f t="shared" si="67"/>
        <v>220931</v>
      </c>
      <c r="I105" s="130">
        <f t="shared" si="68"/>
        <v>35883551</v>
      </c>
      <c r="J105" s="55">
        <f>41790500+21989878+44040978+19383555-41763450-21989878</f>
        <v>63451583</v>
      </c>
      <c r="K105" s="47">
        <f t="shared" si="69"/>
        <v>99335134</v>
      </c>
      <c r="L105" s="116" t="s">
        <v>65</v>
      </c>
      <c r="M105" s="55">
        <f>4034894+673405+388059+1097465+568224+7919514+1019658+9521+3674484+715773+350705+1162285+619124+8089416+0+0-4034894-673405-388059-1097465-568224-7919514-1019658-9521</f>
        <v>14611787</v>
      </c>
      <c r="N105" s="47">
        <f t="shared" si="70"/>
        <v>48839796</v>
      </c>
      <c r="O105" s="49">
        <f t="shared" si="71"/>
        <v>84723347</v>
      </c>
      <c r="P105" s="55">
        <v>0</v>
      </c>
      <c r="Q105" s="117">
        <f>8456394-14253820</f>
        <v>-5797426</v>
      </c>
      <c r="R105" s="117">
        <f>6607346-11169111</f>
        <v>-4561765</v>
      </c>
    </row>
    <row r="106" spans="1:19" x14ac:dyDescent="0.2">
      <c r="A106" s="83">
        <f>'FERC Interest Rates'!A121</f>
        <v>44681</v>
      </c>
      <c r="B106" s="25">
        <v>12434900</v>
      </c>
      <c r="C106" s="25">
        <f>9640231+91809-93876</f>
        <v>9638164</v>
      </c>
      <c r="D106" s="25">
        <v>1413909</v>
      </c>
      <c r="E106" s="46">
        <f t="shared" si="66"/>
        <v>23486973</v>
      </c>
      <c r="F106" s="89">
        <v>0</v>
      </c>
      <c r="G106" s="25">
        <f>220931+211682-220931</f>
        <v>211682</v>
      </c>
      <c r="H106" s="46">
        <f t="shared" si="67"/>
        <v>211682</v>
      </c>
      <c r="I106" s="129">
        <f t="shared" si="68"/>
        <v>23698655</v>
      </c>
      <c r="J106" s="89">
        <f>43576574+19383555+44261740+19865907-44040978-19383555</f>
        <v>63663243</v>
      </c>
      <c r="K106" s="46">
        <f t="shared" si="69"/>
        <v>87361898</v>
      </c>
      <c r="L106" s="84" t="s">
        <v>65</v>
      </c>
      <c r="M106" s="89">
        <f>3674484+715773+350705+1162285+619124+8089416+0+0+3715725+712231+412738+1126258+590373+5281024+1491537+0-3674484-715773-350705-1162285-619124-8089416-0-0</f>
        <v>13329886</v>
      </c>
      <c r="N106" s="46">
        <f t="shared" si="70"/>
        <v>50333357</v>
      </c>
      <c r="O106" s="48">
        <f t="shared" si="71"/>
        <v>74032012</v>
      </c>
      <c r="P106" s="89">
        <v>0</v>
      </c>
      <c r="Q106" s="8">
        <f>8330002-8456394</f>
        <v>-126392</v>
      </c>
      <c r="R106" s="8">
        <f>6413811-6607346</f>
        <v>-193535</v>
      </c>
      <c r="S106" s="1" t="s">
        <v>198</v>
      </c>
    </row>
    <row r="107" spans="1:19" x14ac:dyDescent="0.2">
      <c r="A107" s="83">
        <f>'FERC Interest Rates'!A122</f>
        <v>44712</v>
      </c>
      <c r="B107" s="25">
        <v>10496103</v>
      </c>
      <c r="C107" s="25">
        <f>8483912+47180-91809</f>
        <v>8439283</v>
      </c>
      <c r="D107" s="25">
        <v>1336966</v>
      </c>
      <c r="E107" s="46">
        <f t="shared" si="66"/>
        <v>20272352</v>
      </c>
      <c r="F107" s="89">
        <v>0</v>
      </c>
      <c r="G107" s="25">
        <f>211682+179840-211682</f>
        <v>179840</v>
      </c>
      <c r="H107" s="46">
        <f t="shared" si="67"/>
        <v>179840</v>
      </c>
      <c r="I107" s="129">
        <f t="shared" si="68"/>
        <v>20452192</v>
      </c>
      <c r="J107" s="89">
        <f>44269356+19865907+41375322+15369520-44261740-19865907</f>
        <v>56752458</v>
      </c>
      <c r="K107" s="46">
        <f t="shared" si="69"/>
        <v>77204650</v>
      </c>
      <c r="L107" s="84" t="s">
        <v>65</v>
      </c>
      <c r="M107" s="89">
        <f>3715725+712231+412738+1126258+590373+5281024+1491537+0+3579442+540138+276680+1123222+609109+5758697+1825895+21006-3715725-712231-412738-1126258-590373-5281024-1491537-0</f>
        <v>13734189</v>
      </c>
      <c r="N107" s="46">
        <f t="shared" si="70"/>
        <v>43018269</v>
      </c>
      <c r="O107" s="48">
        <f t="shared" si="71"/>
        <v>63470461</v>
      </c>
      <c r="P107" s="89">
        <v>0</v>
      </c>
      <c r="Q107" s="8">
        <f>5057385-8330002</f>
        <v>-3272617</v>
      </c>
      <c r="R107" s="8">
        <f>4060717-6413811</f>
        <v>-2353094</v>
      </c>
    </row>
    <row r="108" spans="1:19" x14ac:dyDescent="0.2">
      <c r="A108" s="83">
        <f>'FERC Interest Rates'!A123</f>
        <v>44742</v>
      </c>
      <c r="B108" s="25">
        <v>6329476</v>
      </c>
      <c r="C108" s="25">
        <f>5583217+13397-47180</f>
        <v>5549434</v>
      </c>
      <c r="D108" s="25">
        <v>1144539</v>
      </c>
      <c r="E108" s="46">
        <f t="shared" si="66"/>
        <v>13023449</v>
      </c>
      <c r="F108" s="89">
        <v>0</v>
      </c>
      <c r="G108" s="25">
        <f>179840+115112-179840</f>
        <v>115112</v>
      </c>
      <c r="H108" s="46">
        <f t="shared" si="67"/>
        <v>115112</v>
      </c>
      <c r="I108" s="129">
        <f t="shared" si="68"/>
        <v>13138561</v>
      </c>
      <c r="J108" s="89">
        <f>41375322+15369520+36668431+11060215-41375322-15369520</f>
        <v>47728646</v>
      </c>
      <c r="K108" s="46">
        <f t="shared" si="69"/>
        <v>60867207</v>
      </c>
      <c r="L108" s="84" t="s">
        <v>65</v>
      </c>
      <c r="M108" s="89">
        <f>3579442+540138+276680+1123222+609109+5758697+1825895+21006+3175626+365328+236238+1026480+568762+7435483+392070+32468-3579442-540138-276680-1123222-609109-5758697-1825895-21006</f>
        <v>13232455</v>
      </c>
      <c r="N108" s="46">
        <f t="shared" si="70"/>
        <v>34496191</v>
      </c>
      <c r="O108" s="48">
        <f t="shared" si="71"/>
        <v>47634752</v>
      </c>
      <c r="P108" s="89">
        <v>0</v>
      </c>
      <c r="Q108" s="8">
        <f>2359004-5057385</f>
        <v>-2698381</v>
      </c>
      <c r="R108" s="8">
        <f>2056705-4060717</f>
        <v>-2004012</v>
      </c>
    </row>
    <row r="109" spans="1:19" x14ac:dyDescent="0.2">
      <c r="A109" s="83">
        <f>'FERC Interest Rates'!A124</f>
        <v>44773</v>
      </c>
      <c r="E109" s="46">
        <f t="shared" si="66"/>
        <v>0</v>
      </c>
      <c r="F109" s="89"/>
      <c r="H109" s="46">
        <f t="shared" si="67"/>
        <v>0</v>
      </c>
      <c r="I109" s="129">
        <f t="shared" si="68"/>
        <v>0</v>
      </c>
      <c r="J109" s="89"/>
      <c r="K109" s="46">
        <f t="shared" si="69"/>
        <v>0</v>
      </c>
      <c r="L109" s="84" t="s">
        <v>65</v>
      </c>
      <c r="M109" s="89"/>
      <c r="N109" s="46">
        <f t="shared" si="70"/>
        <v>0</v>
      </c>
      <c r="O109" s="48">
        <f t="shared" si="71"/>
        <v>0</v>
      </c>
      <c r="P109" s="89"/>
      <c r="Q109" s="8"/>
      <c r="R109" s="8"/>
    </row>
    <row r="110" spans="1:19" x14ac:dyDescent="0.2">
      <c r="A110" s="83">
        <f>'FERC Interest Rates'!A125</f>
        <v>44804</v>
      </c>
      <c r="E110" s="46">
        <f t="shared" si="66"/>
        <v>0</v>
      </c>
      <c r="F110" s="89"/>
      <c r="H110" s="46">
        <f t="shared" si="67"/>
        <v>0</v>
      </c>
      <c r="I110" s="129">
        <f t="shared" si="68"/>
        <v>0</v>
      </c>
      <c r="J110" s="89"/>
      <c r="K110" s="46">
        <f t="shared" si="69"/>
        <v>0</v>
      </c>
      <c r="L110" s="84" t="s">
        <v>65</v>
      </c>
      <c r="M110" s="89"/>
      <c r="N110" s="46">
        <f t="shared" si="70"/>
        <v>0</v>
      </c>
      <c r="O110" s="48">
        <f t="shared" si="71"/>
        <v>0</v>
      </c>
      <c r="P110" s="89"/>
      <c r="Q110" s="8"/>
      <c r="R110" s="8"/>
    </row>
    <row r="111" spans="1:19" x14ac:dyDescent="0.2">
      <c r="A111" s="83">
        <f>'FERC Interest Rates'!A126</f>
        <v>44834</v>
      </c>
      <c r="E111" s="46">
        <f t="shared" si="66"/>
        <v>0</v>
      </c>
      <c r="F111" s="89"/>
      <c r="H111" s="46">
        <f t="shared" si="67"/>
        <v>0</v>
      </c>
      <c r="I111" s="129">
        <f t="shared" si="68"/>
        <v>0</v>
      </c>
      <c r="J111" s="89"/>
      <c r="K111" s="46">
        <f t="shared" si="69"/>
        <v>0</v>
      </c>
      <c r="L111" s="84" t="s">
        <v>65</v>
      </c>
      <c r="M111" s="89"/>
      <c r="N111" s="46">
        <f t="shared" si="70"/>
        <v>0</v>
      </c>
      <c r="O111" s="48">
        <f t="shared" si="71"/>
        <v>0</v>
      </c>
      <c r="P111" s="89"/>
      <c r="Q111" s="8"/>
      <c r="R111" s="8"/>
    </row>
    <row r="112" spans="1:19" x14ac:dyDescent="0.2">
      <c r="A112" s="83">
        <f>'FERC Interest Rates'!A127</f>
        <v>44865</v>
      </c>
      <c r="E112" s="46">
        <f t="shared" ref="E112" si="72">SUM(B112:D112)</f>
        <v>0</v>
      </c>
      <c r="F112" s="89"/>
      <c r="H112" s="46">
        <f t="shared" ref="H112" si="73">SUM(F112:G112)</f>
        <v>0</v>
      </c>
      <c r="I112" s="129">
        <f t="shared" ref="I112" si="74">E112+H112</f>
        <v>0</v>
      </c>
      <c r="J112" s="89"/>
      <c r="K112" s="46">
        <f t="shared" ref="K112" si="75">I112+J112</f>
        <v>0</v>
      </c>
      <c r="L112" s="84" t="s">
        <v>65</v>
      </c>
      <c r="M112" s="89"/>
      <c r="N112" s="46">
        <f t="shared" ref="N112" si="76">J112-M112</f>
        <v>0</v>
      </c>
      <c r="O112" s="48">
        <f t="shared" ref="O112" si="77">K112-M112</f>
        <v>0</v>
      </c>
      <c r="P112" s="89"/>
      <c r="Q112" s="8"/>
      <c r="R112" s="8"/>
    </row>
  </sheetData>
  <mergeCells count="12">
    <mergeCell ref="Q3:R3"/>
    <mergeCell ref="A1:R1"/>
    <mergeCell ref="A2:R2"/>
    <mergeCell ref="P3:P4"/>
    <mergeCell ref="A3:A4"/>
    <mergeCell ref="B3:E3"/>
    <mergeCell ref="F3:H3"/>
    <mergeCell ref="I3:I4"/>
    <mergeCell ref="J3:J4"/>
    <mergeCell ref="K3:K4"/>
    <mergeCell ref="L3:N3"/>
    <mergeCell ref="O3:O4"/>
  </mergeCells>
  <phoneticPr fontId="0" type="noConversion"/>
  <printOptions horizontalCentered="1" gridLinesSet="0"/>
  <pageMargins left="0.5" right="0.25" top="0.5" bottom="0.25" header="0.3" footer="0.3"/>
  <pageSetup scale="59" orientation="landscape" r:id="rId1"/>
  <headerFooter>
    <oddFooter>&amp;L&amp;"-,Bold"&amp;10Cascade Natural Gas Corporation&amp;C&amp;"-,Bold"&amp;10&amp;P of &amp;N&amp;R&amp;"-,Bold"&amp;10Washington Deferral Accounts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R330"/>
  <sheetViews>
    <sheetView topLeftCell="A200" zoomScaleNormal="100" workbookViewId="0">
      <selection activeCell="N318" sqref="N318"/>
    </sheetView>
  </sheetViews>
  <sheetFormatPr defaultColWidth="8.88671875" defaultRowHeight="15" x14ac:dyDescent="0.25"/>
  <cols>
    <col min="1" max="2" width="8.88671875" style="57"/>
    <col min="3" max="3" width="9.77734375" style="57" customWidth="1"/>
    <col min="4" max="4" width="8" style="57" customWidth="1"/>
    <col min="5" max="5" width="10.109375" style="57" customWidth="1"/>
    <col min="6" max="6" width="8" style="57" customWidth="1"/>
    <col min="7" max="7" width="9.44140625" style="57" customWidth="1"/>
    <col min="8" max="8" width="9.6640625" style="57" customWidth="1"/>
    <col min="9" max="11" width="8.88671875" style="57"/>
    <col min="12" max="12" width="1.77734375" style="57" customWidth="1"/>
    <col min="13" max="13" width="10.21875" style="57" customWidth="1"/>
    <col min="14" max="16384" width="8.88671875" style="57"/>
  </cols>
  <sheetData>
    <row r="2" spans="1:16" x14ac:dyDescent="0.25">
      <c r="B2" s="617" t="s">
        <v>178</v>
      </c>
      <c r="C2" s="617"/>
      <c r="D2" s="617"/>
      <c r="E2" s="617"/>
      <c r="F2" s="617"/>
      <c r="G2" s="617"/>
      <c r="H2" s="617"/>
      <c r="I2" s="617"/>
      <c r="J2" s="617"/>
      <c r="K2" s="617"/>
    </row>
    <row r="3" spans="1:16" x14ac:dyDescent="0.25">
      <c r="B3" s="59">
        <v>502</v>
      </c>
      <c r="C3" s="59">
        <v>503</v>
      </c>
      <c r="D3" s="59" t="s">
        <v>105</v>
      </c>
      <c r="E3" s="59">
        <v>504</v>
      </c>
      <c r="F3" s="59" t="s">
        <v>106</v>
      </c>
      <c r="G3" s="59">
        <v>505</v>
      </c>
      <c r="H3" s="59" t="s">
        <v>151</v>
      </c>
      <c r="I3" s="59">
        <v>512</v>
      </c>
      <c r="J3" s="59">
        <v>570</v>
      </c>
      <c r="K3" s="59">
        <v>577</v>
      </c>
      <c r="M3" s="63" t="s">
        <v>3</v>
      </c>
    </row>
    <row r="4" spans="1:16" hidden="1" x14ac:dyDescent="0.25">
      <c r="A4" s="85">
        <v>43069</v>
      </c>
      <c r="B4" s="86">
        <v>21608</v>
      </c>
      <c r="C4" s="86">
        <v>6713843</v>
      </c>
      <c r="D4" s="86">
        <v>449</v>
      </c>
      <c r="E4" s="86">
        <v>4550202</v>
      </c>
      <c r="F4" s="86">
        <v>555</v>
      </c>
      <c r="G4" s="86">
        <v>687511</v>
      </c>
      <c r="H4" s="86">
        <f>175575+560996</f>
        <v>736571</v>
      </c>
      <c r="I4" s="86">
        <v>2035</v>
      </c>
      <c r="J4" s="86">
        <v>194633</v>
      </c>
      <c r="K4" s="86">
        <v>14508</v>
      </c>
      <c r="L4" s="87"/>
      <c r="M4" s="88">
        <f>SUM(B4:L4)</f>
        <v>12921915</v>
      </c>
    </row>
    <row r="5" spans="1:16" hidden="1" x14ac:dyDescent="0.25">
      <c r="A5" s="85">
        <v>43069</v>
      </c>
      <c r="B5" s="86">
        <v>17127</v>
      </c>
      <c r="C5" s="86">
        <v>3745285</v>
      </c>
      <c r="D5" s="86"/>
      <c r="E5" s="86">
        <v>2334076</v>
      </c>
      <c r="F5" s="86"/>
      <c r="G5" s="86">
        <v>298875</v>
      </c>
      <c r="H5" s="86">
        <f>116927+373602</f>
        <v>490529</v>
      </c>
      <c r="I5" s="86">
        <v>2035</v>
      </c>
      <c r="J5" s="86"/>
      <c r="K5" s="86"/>
      <c r="L5" s="87"/>
      <c r="M5" s="88">
        <f>SUM(B5:L5)</f>
        <v>6887927</v>
      </c>
    </row>
    <row r="6" spans="1:16" hidden="1" x14ac:dyDescent="0.25">
      <c r="A6" s="58">
        <v>43100</v>
      </c>
      <c r="B6" s="60">
        <v>72197</v>
      </c>
      <c r="C6" s="60">
        <v>16092030</v>
      </c>
      <c r="D6" s="60">
        <v>1372</v>
      </c>
      <c r="E6" s="60">
        <v>10736839</v>
      </c>
      <c r="F6" s="60">
        <v>372</v>
      </c>
      <c r="G6" s="60">
        <v>1399191</v>
      </c>
      <c r="H6" s="60">
        <f>210755+1197745</f>
        <v>1408500</v>
      </c>
      <c r="I6" s="60">
        <v>3666</v>
      </c>
      <c r="J6" s="60">
        <v>212628</v>
      </c>
      <c r="K6" s="60">
        <v>17027</v>
      </c>
      <c r="M6" s="65">
        <f t="shared" ref="M6:M68" si="0">SUM(B6:L6)</f>
        <v>29943822</v>
      </c>
    </row>
    <row r="7" spans="1:16" hidden="1" x14ac:dyDescent="0.25">
      <c r="A7" s="58">
        <v>43131</v>
      </c>
      <c r="B7" s="60">
        <v>101143</v>
      </c>
      <c r="C7" s="60">
        <v>22509354</v>
      </c>
      <c r="D7" s="60">
        <v>2767</v>
      </c>
      <c r="E7" s="60">
        <v>15180300</v>
      </c>
      <c r="F7" s="60">
        <v>417</v>
      </c>
      <c r="G7" s="60">
        <v>1543197</v>
      </c>
      <c r="H7" s="60">
        <f>365330+1605280</f>
        <v>1970610</v>
      </c>
      <c r="I7" s="60">
        <v>4437</v>
      </c>
      <c r="J7" s="60">
        <v>239049</v>
      </c>
      <c r="K7" s="60">
        <v>19015</v>
      </c>
      <c r="M7" s="65">
        <f t="shared" si="0"/>
        <v>41570289</v>
      </c>
    </row>
    <row r="8" spans="1:16" hidden="1" x14ac:dyDescent="0.25">
      <c r="A8" s="58">
        <v>43159</v>
      </c>
      <c r="B8" s="60">
        <v>76835</v>
      </c>
      <c r="C8" s="60">
        <v>15853594</v>
      </c>
      <c r="D8" s="60">
        <v>4356</v>
      </c>
      <c r="E8" s="60">
        <v>10866171</v>
      </c>
      <c r="F8" s="60">
        <v>1267</v>
      </c>
      <c r="G8" s="60">
        <v>1256468</v>
      </c>
      <c r="H8" s="60">
        <f>261026+1166638</f>
        <v>1427664</v>
      </c>
      <c r="I8" s="60">
        <v>3570</v>
      </c>
      <c r="J8" s="60">
        <v>230244</v>
      </c>
      <c r="K8" s="60">
        <v>18619</v>
      </c>
      <c r="M8" s="65">
        <f t="shared" si="0"/>
        <v>29738788</v>
      </c>
    </row>
    <row r="9" spans="1:16" hidden="1" x14ac:dyDescent="0.25">
      <c r="A9" s="58">
        <v>43190</v>
      </c>
      <c r="B9" s="60">
        <f>91997+54</f>
        <v>92051</v>
      </c>
      <c r="C9" s="60">
        <v>18788639</v>
      </c>
      <c r="D9" s="60">
        <v>5757</v>
      </c>
      <c r="E9" s="60">
        <v>12580071</v>
      </c>
      <c r="F9" s="60">
        <v>0</v>
      </c>
      <c r="G9" s="60">
        <v>1403497</v>
      </c>
      <c r="H9" s="60">
        <f>282108+1377202</f>
        <v>1659310</v>
      </c>
      <c r="I9" s="60">
        <v>4165</v>
      </c>
      <c r="J9" s="60">
        <v>225310</v>
      </c>
      <c r="K9" s="60">
        <v>16849</v>
      </c>
      <c r="M9" s="65">
        <f t="shared" si="0"/>
        <v>34775649</v>
      </c>
    </row>
    <row r="10" spans="1:16" hidden="1" x14ac:dyDescent="0.25">
      <c r="A10" s="58">
        <v>43220</v>
      </c>
      <c r="B10" s="60">
        <f>56470-54</f>
        <v>56416</v>
      </c>
      <c r="C10" s="60">
        <v>12498389</v>
      </c>
      <c r="D10" s="60">
        <v>4526</v>
      </c>
      <c r="E10" s="60">
        <v>8686632</v>
      </c>
      <c r="F10" s="60">
        <v>51</v>
      </c>
      <c r="G10" s="60">
        <v>1111390</v>
      </c>
      <c r="H10" s="60">
        <f>337012+1076115</f>
        <v>1413127</v>
      </c>
      <c r="I10" s="60">
        <v>3827</v>
      </c>
      <c r="J10" s="60">
        <v>223925</v>
      </c>
      <c r="K10" s="60">
        <v>16355</v>
      </c>
      <c r="M10" s="65">
        <f t="shared" si="0"/>
        <v>24014638</v>
      </c>
    </row>
    <row r="11" spans="1:16" hidden="1" x14ac:dyDescent="0.25">
      <c r="A11" s="58">
        <v>43251</v>
      </c>
      <c r="B11" s="60">
        <v>28538</v>
      </c>
      <c r="C11" s="60">
        <v>7376446</v>
      </c>
      <c r="D11" s="60">
        <v>2823</v>
      </c>
      <c r="E11" s="60">
        <v>5472382</v>
      </c>
      <c r="F11" s="60">
        <v>0</v>
      </c>
      <c r="G11" s="60">
        <v>803238</v>
      </c>
      <c r="H11" s="60">
        <f>315172+763368</f>
        <v>1078540</v>
      </c>
      <c r="I11" s="60">
        <v>4610</v>
      </c>
      <c r="J11" s="60">
        <v>187493</v>
      </c>
      <c r="K11" s="60">
        <v>12692</v>
      </c>
      <c r="M11" s="65">
        <f t="shared" si="0"/>
        <v>14966762</v>
      </c>
      <c r="O11" s="77"/>
      <c r="P11" s="57" t="s">
        <v>128</v>
      </c>
    </row>
    <row r="12" spans="1:16" hidden="1" x14ac:dyDescent="0.25">
      <c r="A12" s="58">
        <v>43281</v>
      </c>
      <c r="B12" s="60">
        <v>10206</v>
      </c>
      <c r="C12" s="60">
        <v>4008784</v>
      </c>
      <c r="D12" s="60">
        <v>520</v>
      </c>
      <c r="E12" s="60">
        <v>3426032</v>
      </c>
      <c r="F12" s="60">
        <v>0</v>
      </c>
      <c r="G12" s="60">
        <v>596675</v>
      </c>
      <c r="H12" s="60">
        <f>262828+506780</f>
        <v>769608</v>
      </c>
      <c r="I12" s="60">
        <v>4475</v>
      </c>
      <c r="J12" s="60">
        <v>135541</v>
      </c>
      <c r="K12" s="60">
        <v>8985</v>
      </c>
      <c r="M12" s="65">
        <f t="shared" si="0"/>
        <v>8960826</v>
      </c>
      <c r="P12" s="57" t="s">
        <v>129</v>
      </c>
    </row>
    <row r="13" spans="1:16" hidden="1" x14ac:dyDescent="0.25">
      <c r="A13" s="58">
        <v>43312</v>
      </c>
      <c r="B13" s="60">
        <v>4948</v>
      </c>
      <c r="C13" s="60">
        <v>3117860</v>
      </c>
      <c r="D13" s="60">
        <v>438</v>
      </c>
      <c r="E13" s="60">
        <v>2887016</v>
      </c>
      <c r="F13" s="60">
        <v>167</v>
      </c>
      <c r="G13" s="60">
        <v>526644</v>
      </c>
      <c r="H13" s="60">
        <f>254624+404493</f>
        <v>659117</v>
      </c>
      <c r="I13" s="60">
        <v>4195</v>
      </c>
      <c r="J13" s="60">
        <v>107356</v>
      </c>
      <c r="K13" s="60">
        <v>8561</v>
      </c>
      <c r="M13" s="65">
        <f t="shared" si="0"/>
        <v>7316302</v>
      </c>
      <c r="P13" s="57" t="s">
        <v>133</v>
      </c>
    </row>
    <row r="14" spans="1:16" hidden="1" x14ac:dyDescent="0.25">
      <c r="A14" s="58">
        <v>43343</v>
      </c>
      <c r="B14" s="76"/>
      <c r="C14" s="60">
        <f>2714543+566</f>
        <v>2715109</v>
      </c>
      <c r="D14" s="60">
        <v>124</v>
      </c>
      <c r="E14" s="60">
        <v>2801474</v>
      </c>
      <c r="F14" s="60">
        <v>0</v>
      </c>
      <c r="G14" s="60">
        <v>543579</v>
      </c>
      <c r="H14" s="60">
        <f>255143+395931</f>
        <v>651074</v>
      </c>
      <c r="I14" s="76">
        <v>0</v>
      </c>
      <c r="J14" s="60">
        <f>111904+8245</f>
        <v>120149</v>
      </c>
      <c r="K14" s="76"/>
      <c r="M14" s="65">
        <f t="shared" si="0"/>
        <v>6831509</v>
      </c>
    </row>
    <row r="15" spans="1:16" hidden="1" x14ac:dyDescent="0.25">
      <c r="A15" s="58">
        <v>43373</v>
      </c>
      <c r="B15" s="76"/>
      <c r="C15" s="60">
        <v>2809188</v>
      </c>
      <c r="D15" s="60">
        <v>158</v>
      </c>
      <c r="E15" s="60">
        <v>2784183</v>
      </c>
      <c r="F15" s="60">
        <v>359</v>
      </c>
      <c r="G15" s="60">
        <v>648016</v>
      </c>
      <c r="H15" s="60">
        <f>241009+384208</f>
        <v>625217</v>
      </c>
      <c r="I15" s="76"/>
      <c r="J15" s="60">
        <v>93391</v>
      </c>
      <c r="K15" s="76"/>
      <c r="M15" s="65">
        <f t="shared" si="0"/>
        <v>6960512</v>
      </c>
    </row>
    <row r="16" spans="1:16" hidden="1" x14ac:dyDescent="0.25">
      <c r="A16" s="58">
        <v>43404</v>
      </c>
      <c r="B16" s="76"/>
      <c r="C16" s="60">
        <v>5307116</v>
      </c>
      <c r="D16" s="60">
        <v>501</v>
      </c>
      <c r="E16" s="60">
        <v>4259766</v>
      </c>
      <c r="F16" s="60">
        <v>188</v>
      </c>
      <c r="G16" s="60">
        <v>1031586</v>
      </c>
      <c r="H16" s="60">
        <f>447130+674628</f>
        <v>1121758</v>
      </c>
      <c r="I16" s="76"/>
      <c r="J16" s="60">
        <v>118645</v>
      </c>
      <c r="K16" s="76"/>
      <c r="M16" s="65">
        <f t="shared" si="0"/>
        <v>11839560</v>
      </c>
    </row>
    <row r="17" spans="1:13" hidden="1" x14ac:dyDescent="0.25">
      <c r="A17" s="58">
        <v>43434</v>
      </c>
      <c r="B17" s="76"/>
      <c r="C17" s="60">
        <v>5727490</v>
      </c>
      <c r="D17" s="60">
        <v>2079</v>
      </c>
      <c r="E17" s="60">
        <f>4033428-2079</f>
        <v>4031349</v>
      </c>
      <c r="F17" s="60">
        <v>21</v>
      </c>
      <c r="G17" s="60">
        <f>691298-21</f>
        <v>691277</v>
      </c>
      <c r="H17" s="60">
        <f>459820+107458</f>
        <v>567278</v>
      </c>
      <c r="I17" s="76"/>
      <c r="J17" s="60">
        <v>197742</v>
      </c>
      <c r="K17" s="76"/>
      <c r="M17" s="65">
        <f t="shared" si="0"/>
        <v>11217236</v>
      </c>
    </row>
    <row r="18" spans="1:13" hidden="1" x14ac:dyDescent="0.25">
      <c r="A18" s="58">
        <v>43434</v>
      </c>
      <c r="B18" s="76"/>
      <c r="C18" s="60">
        <v>3233440</v>
      </c>
      <c r="D18" s="60">
        <v>0</v>
      </c>
      <c r="E18" s="60">
        <v>2122532</v>
      </c>
      <c r="F18" s="60">
        <v>0</v>
      </c>
      <c r="G18" s="60">
        <v>298083</v>
      </c>
      <c r="H18" s="60">
        <f>331925+77569</f>
        <v>409494</v>
      </c>
      <c r="I18" s="76"/>
      <c r="J18" s="60">
        <v>0</v>
      </c>
      <c r="K18" s="76"/>
      <c r="M18" s="65">
        <f t="shared" si="0"/>
        <v>6063549</v>
      </c>
    </row>
    <row r="19" spans="1:13" hidden="1" x14ac:dyDescent="0.25">
      <c r="A19" s="58">
        <v>43465</v>
      </c>
      <c r="B19" s="76"/>
      <c r="C19" s="60">
        <v>17031202</v>
      </c>
      <c r="D19" s="60">
        <v>3464</v>
      </c>
      <c r="E19" s="60">
        <v>11460190</v>
      </c>
      <c r="F19" s="60">
        <v>63</v>
      </c>
      <c r="G19" s="60">
        <v>1475293</v>
      </c>
      <c r="H19" s="60">
        <f>305292+1383646</f>
        <v>1688938</v>
      </c>
      <c r="I19" s="76"/>
      <c r="J19" s="60">
        <v>217688</v>
      </c>
      <c r="K19" s="76"/>
      <c r="M19" s="65">
        <f t="shared" si="0"/>
        <v>31876838</v>
      </c>
    </row>
    <row r="20" spans="1:13" hidden="1" x14ac:dyDescent="0.25">
      <c r="A20" s="58">
        <v>43496</v>
      </c>
      <c r="B20" s="76"/>
      <c r="C20" s="60">
        <v>19425579</v>
      </c>
      <c r="D20" s="60">
        <v>4915</v>
      </c>
      <c r="E20" s="60">
        <v>13117967</v>
      </c>
      <c r="F20" s="60">
        <v>79</v>
      </c>
      <c r="G20" s="60">
        <v>1433715</v>
      </c>
      <c r="H20" s="60">
        <f>330955+1477641</f>
        <v>1808596</v>
      </c>
      <c r="I20" s="76"/>
      <c r="J20" s="60">
        <v>260482</v>
      </c>
      <c r="K20" s="76"/>
      <c r="M20" s="65">
        <f t="shared" si="0"/>
        <v>36051333</v>
      </c>
    </row>
    <row r="21" spans="1:13" hidden="1" x14ac:dyDescent="0.25">
      <c r="A21" s="58">
        <v>43524</v>
      </c>
      <c r="B21" s="76"/>
      <c r="C21" s="60">
        <v>20826493</v>
      </c>
      <c r="D21" s="60">
        <v>4626</v>
      </c>
      <c r="E21" s="60">
        <v>13988227</v>
      </c>
      <c r="F21" s="60">
        <v>7</v>
      </c>
      <c r="G21" s="60">
        <v>1616149</v>
      </c>
      <c r="H21" s="60">
        <f>325966+1527495</f>
        <v>1853461</v>
      </c>
      <c r="I21" s="76"/>
      <c r="J21" s="60">
        <v>258811</v>
      </c>
      <c r="K21" s="76"/>
      <c r="M21" s="65">
        <f t="shared" si="0"/>
        <v>38547774</v>
      </c>
    </row>
    <row r="22" spans="1:13" hidden="1" x14ac:dyDescent="0.25">
      <c r="A22" s="58">
        <v>43555</v>
      </c>
      <c r="B22" s="76"/>
      <c r="C22" s="60">
        <v>22406676</v>
      </c>
      <c r="D22" s="60">
        <v>5486</v>
      </c>
      <c r="E22" s="60">
        <v>15941825</v>
      </c>
      <c r="F22" s="60">
        <v>0</v>
      </c>
      <c r="G22" s="60">
        <v>1794729</v>
      </c>
      <c r="H22" s="60">
        <f>344448+1650107</f>
        <v>1994555</v>
      </c>
      <c r="I22" s="76"/>
      <c r="J22" s="60">
        <v>270184</v>
      </c>
      <c r="K22" s="76"/>
      <c r="M22" s="65">
        <f t="shared" si="0"/>
        <v>42413455</v>
      </c>
    </row>
    <row r="23" spans="1:13" hidden="1" x14ac:dyDescent="0.25">
      <c r="A23" s="58">
        <v>43585</v>
      </c>
      <c r="B23" s="76"/>
      <c r="C23" s="60">
        <v>12262358</v>
      </c>
      <c r="D23" s="60">
        <v>3527</v>
      </c>
      <c r="E23" s="60">
        <v>9096547</v>
      </c>
      <c r="F23" s="60">
        <v>0</v>
      </c>
      <c r="G23" s="60">
        <v>1331310</v>
      </c>
      <c r="H23" s="60">
        <f>339049+1028839</f>
        <v>1367888</v>
      </c>
      <c r="I23" s="76"/>
      <c r="J23" s="60">
        <v>248145</v>
      </c>
      <c r="K23" s="76"/>
      <c r="M23" s="65">
        <f t="shared" si="0"/>
        <v>24309775</v>
      </c>
    </row>
    <row r="24" spans="1:13" hidden="1" x14ac:dyDescent="0.25">
      <c r="A24" s="58">
        <v>43616</v>
      </c>
      <c r="B24" s="76"/>
      <c r="C24" s="60">
        <v>7409569</v>
      </c>
      <c r="D24" s="60">
        <v>2258</v>
      </c>
      <c r="E24" s="60">
        <v>5370530</v>
      </c>
      <c r="F24" s="60">
        <v>128</v>
      </c>
      <c r="G24" s="60">
        <v>789879</v>
      </c>
      <c r="H24" s="60">
        <f>267660+692205</f>
        <v>959865</v>
      </c>
      <c r="I24" s="76"/>
      <c r="J24" s="60">
        <v>191467</v>
      </c>
      <c r="K24" s="76"/>
      <c r="M24" s="65">
        <f t="shared" si="0"/>
        <v>14723696</v>
      </c>
    </row>
    <row r="25" spans="1:13" hidden="1" x14ac:dyDescent="0.25">
      <c r="A25" s="58">
        <v>43646</v>
      </c>
      <c r="B25" s="76"/>
      <c r="C25" s="60">
        <v>4046705</v>
      </c>
      <c r="D25" s="60">
        <v>645</v>
      </c>
      <c r="E25" s="60">
        <v>3465484</v>
      </c>
      <c r="F25" s="60">
        <v>151</v>
      </c>
      <c r="G25" s="60">
        <v>579038</v>
      </c>
      <c r="H25" s="60">
        <f>275040+479946</f>
        <v>754986</v>
      </c>
      <c r="I25" s="76"/>
      <c r="J25" s="60">
        <v>142256</v>
      </c>
      <c r="K25" s="76"/>
      <c r="M25" s="65">
        <f t="shared" si="0"/>
        <v>8989265</v>
      </c>
    </row>
    <row r="26" spans="1:13" hidden="1" x14ac:dyDescent="0.25">
      <c r="A26" s="58">
        <v>43677</v>
      </c>
      <c r="B26" s="76"/>
      <c r="C26" s="60">
        <v>3217527</v>
      </c>
      <c r="D26" s="60">
        <v>367</v>
      </c>
      <c r="E26" s="60">
        <v>3054528</v>
      </c>
      <c r="F26" s="60">
        <v>0</v>
      </c>
      <c r="G26" s="60">
        <v>537168</v>
      </c>
      <c r="H26" s="60">
        <f>315197+406093</f>
        <v>721290</v>
      </c>
      <c r="I26" s="76"/>
      <c r="J26" s="60">
        <v>110987</v>
      </c>
      <c r="K26" s="76"/>
      <c r="M26" s="65">
        <f t="shared" si="0"/>
        <v>7641867</v>
      </c>
    </row>
    <row r="27" spans="1:13" hidden="1" x14ac:dyDescent="0.25">
      <c r="A27" s="58">
        <v>43708</v>
      </c>
      <c r="B27" s="76"/>
      <c r="C27" s="60">
        <v>2775098</v>
      </c>
      <c r="D27" s="60">
        <v>155</v>
      </c>
      <c r="E27" s="60">
        <v>2791770</v>
      </c>
      <c r="F27" s="60">
        <v>163</v>
      </c>
      <c r="G27" s="60">
        <v>564404</v>
      </c>
      <c r="H27" s="60">
        <f>350812+400926</f>
        <v>751738</v>
      </c>
      <c r="I27" s="76"/>
      <c r="J27" s="60">
        <v>120028</v>
      </c>
      <c r="K27" s="76"/>
      <c r="M27" s="65">
        <f t="shared" si="0"/>
        <v>7003356</v>
      </c>
    </row>
    <row r="28" spans="1:13" hidden="1" x14ac:dyDescent="0.25">
      <c r="A28" s="58">
        <v>43738</v>
      </c>
      <c r="B28" s="76"/>
      <c r="C28" s="60">
        <v>2691847</v>
      </c>
      <c r="D28" s="60">
        <v>138</v>
      </c>
      <c r="E28" s="60">
        <v>2672689</v>
      </c>
      <c r="F28" s="60">
        <v>0</v>
      </c>
      <c r="G28" s="60">
        <v>651984</v>
      </c>
      <c r="H28" s="60">
        <f>310612+346838</f>
        <v>657450</v>
      </c>
      <c r="I28" s="76"/>
      <c r="J28" s="60">
        <v>93626</v>
      </c>
      <c r="K28" s="76"/>
      <c r="M28" s="65">
        <f t="shared" si="0"/>
        <v>6767734</v>
      </c>
    </row>
    <row r="29" spans="1:13" hidden="1" x14ac:dyDescent="0.25">
      <c r="A29" s="58">
        <v>43769</v>
      </c>
      <c r="B29" s="76"/>
      <c r="C29" s="60">
        <v>6366467</v>
      </c>
      <c r="D29" s="60">
        <v>619</v>
      </c>
      <c r="E29" s="60">
        <v>4853452</v>
      </c>
      <c r="F29" s="60">
        <v>411</v>
      </c>
      <c r="G29" s="60">
        <v>1274354</v>
      </c>
      <c r="H29" s="60">
        <f>413276+680358</f>
        <v>1093634</v>
      </c>
      <c r="I29" s="76"/>
      <c r="J29" s="60">
        <v>111442</v>
      </c>
      <c r="K29" s="76"/>
      <c r="M29" s="65">
        <f t="shared" si="0"/>
        <v>13700379</v>
      </c>
    </row>
    <row r="30" spans="1:13" hidden="1" x14ac:dyDescent="0.25">
      <c r="A30" s="58">
        <v>43799</v>
      </c>
      <c r="B30" s="76"/>
      <c r="C30" s="60">
        <v>7622134</v>
      </c>
      <c r="D30" s="60">
        <v>2955</v>
      </c>
      <c r="E30" s="60">
        <v>5319138</v>
      </c>
      <c r="F30" s="60">
        <v>317</v>
      </c>
      <c r="G30" s="60">
        <v>806453</v>
      </c>
      <c r="H30" s="60">
        <f>626870+1347361+292270</f>
        <v>2266501</v>
      </c>
      <c r="I30" s="76"/>
      <c r="J30" s="60">
        <v>232820</v>
      </c>
      <c r="K30" s="76"/>
      <c r="M30" s="65">
        <f t="shared" si="0"/>
        <v>16250318</v>
      </c>
    </row>
    <row r="31" spans="1:13" hidden="1" x14ac:dyDescent="0.25">
      <c r="A31" s="58">
        <v>43799</v>
      </c>
      <c r="B31" s="76"/>
      <c r="C31" s="60">
        <v>4006834</v>
      </c>
      <c r="D31" s="60"/>
      <c r="E31" s="60">
        <v>2589532</v>
      </c>
      <c r="F31" s="60"/>
      <c r="G31" s="60">
        <v>352170</v>
      </c>
      <c r="H31" s="60">
        <f>410158+192646</f>
        <v>602804</v>
      </c>
      <c r="I31" s="76"/>
      <c r="J31" s="60">
        <v>0</v>
      </c>
      <c r="K31" s="76"/>
      <c r="M31" s="65">
        <f t="shared" si="0"/>
        <v>7551340</v>
      </c>
    </row>
    <row r="32" spans="1:13" hidden="1" x14ac:dyDescent="0.25">
      <c r="A32" s="58">
        <v>43800</v>
      </c>
      <c r="B32" s="76"/>
      <c r="C32" s="60">
        <v>17650518</v>
      </c>
      <c r="D32" s="60">
        <v>3958</v>
      </c>
      <c r="E32" s="60">
        <v>11976706</v>
      </c>
      <c r="F32" s="60">
        <v>491</v>
      </c>
      <c r="G32" s="60">
        <v>1422636</v>
      </c>
      <c r="H32" s="60">
        <f>368658+1498743+1270156</f>
        <v>3137557</v>
      </c>
      <c r="I32" s="76"/>
      <c r="J32" s="60">
        <v>230233</v>
      </c>
      <c r="K32" s="76"/>
      <c r="M32" s="65">
        <f t="shared" si="0"/>
        <v>34422099</v>
      </c>
    </row>
    <row r="33" spans="1:14" hidden="1" x14ac:dyDescent="0.25">
      <c r="A33" s="58">
        <v>43861</v>
      </c>
      <c r="B33" s="76"/>
      <c r="C33" s="60">
        <v>21443608</v>
      </c>
      <c r="D33" s="60">
        <v>4552</v>
      </c>
      <c r="E33" s="60">
        <v>14478708</v>
      </c>
      <c r="F33" s="60">
        <v>261</v>
      </c>
      <c r="G33" s="60">
        <v>1522757</v>
      </c>
      <c r="H33" s="60">
        <f>431249+1688999+1526368</f>
        <v>3646616</v>
      </c>
      <c r="I33" s="76"/>
      <c r="J33" s="60">
        <v>254015</v>
      </c>
      <c r="K33" s="76"/>
      <c r="M33" s="65">
        <f t="shared" si="0"/>
        <v>41350517</v>
      </c>
    </row>
    <row r="34" spans="1:14" hidden="1" x14ac:dyDescent="0.25">
      <c r="A34" s="58">
        <v>43890</v>
      </c>
      <c r="B34" s="76"/>
      <c r="C34" s="60">
        <v>17506775</v>
      </c>
      <c r="D34" s="60">
        <v>4887</v>
      </c>
      <c r="E34" s="60">
        <v>11970901</v>
      </c>
      <c r="F34" s="60">
        <v>85</v>
      </c>
      <c r="G34" s="60">
        <v>1322495</v>
      </c>
      <c r="H34" s="60">
        <f>393372+1783146+1227695</f>
        <v>3404213</v>
      </c>
      <c r="I34" s="76"/>
      <c r="J34" s="60">
        <v>256203</v>
      </c>
      <c r="K34" s="76"/>
      <c r="M34" s="65">
        <f t="shared" si="0"/>
        <v>34465559</v>
      </c>
    </row>
    <row r="35" spans="1:14" hidden="1" x14ac:dyDescent="0.25">
      <c r="A35" s="58">
        <v>43921</v>
      </c>
      <c r="B35" s="76"/>
      <c r="C35" s="60">
        <v>17635811</v>
      </c>
      <c r="D35" s="60">
        <v>4650</v>
      </c>
      <c r="E35" s="60">
        <v>11812961</v>
      </c>
      <c r="F35" s="60">
        <v>341</v>
      </c>
      <c r="G35" s="60">
        <v>1356275</v>
      </c>
      <c r="H35" s="60">
        <f>297569+1661778+1333636</f>
        <v>3292983</v>
      </c>
      <c r="I35" s="76"/>
      <c r="J35" s="60">
        <v>228991</v>
      </c>
      <c r="K35" s="76"/>
      <c r="M35" s="65">
        <f t="shared" si="0"/>
        <v>34332012</v>
      </c>
    </row>
    <row r="36" spans="1:14" hidden="1" x14ac:dyDescent="0.25">
      <c r="A36" s="58">
        <v>43951</v>
      </c>
      <c r="B36" s="76"/>
      <c r="C36" s="60">
        <v>13930299</v>
      </c>
      <c r="D36" s="60">
        <v>4903</v>
      </c>
      <c r="E36" s="60">
        <v>8554564</v>
      </c>
      <c r="F36" s="60">
        <v>182</v>
      </c>
      <c r="G36" s="60">
        <v>1128418</v>
      </c>
      <c r="H36" s="60">
        <f>537766+1700063+1014345</f>
        <v>3252174</v>
      </c>
      <c r="I36" s="76"/>
      <c r="J36" s="60">
        <v>229265</v>
      </c>
      <c r="K36" s="76"/>
      <c r="M36" s="65">
        <f t="shared" si="0"/>
        <v>27099805</v>
      </c>
    </row>
    <row r="37" spans="1:14" hidden="1" x14ac:dyDescent="0.25">
      <c r="A37" s="58">
        <v>43982</v>
      </c>
      <c r="B37" s="76"/>
      <c r="C37" s="60">
        <v>6809502</v>
      </c>
      <c r="D37" s="60">
        <v>3889</v>
      </c>
      <c r="E37" s="60">
        <v>4127918</v>
      </c>
      <c r="F37" s="60">
        <v>193</v>
      </c>
      <c r="G37" s="60">
        <v>713209</v>
      </c>
      <c r="H37" s="60">
        <f>222952+1363626+540957</f>
        <v>2127535</v>
      </c>
      <c r="I37" s="76"/>
      <c r="J37" s="60">
        <v>189521</v>
      </c>
      <c r="K37" s="76"/>
      <c r="M37" s="65">
        <f t="shared" si="0"/>
        <v>13971767</v>
      </c>
    </row>
    <row r="38" spans="1:14" hidden="1" x14ac:dyDescent="0.25">
      <c r="A38" s="58">
        <v>44012</v>
      </c>
      <c r="B38" s="76"/>
      <c r="C38" s="60">
        <v>5005480</v>
      </c>
      <c r="D38" s="60">
        <v>2219</v>
      </c>
      <c r="E38" s="60">
        <v>3158885</v>
      </c>
      <c r="F38" s="60">
        <v>0</v>
      </c>
      <c r="G38" s="60">
        <v>637229</v>
      </c>
      <c r="H38" s="60">
        <f>433558+948718+506151</f>
        <v>1888427</v>
      </c>
      <c r="I38" s="76"/>
      <c r="J38" s="60">
        <v>139589</v>
      </c>
      <c r="K38" s="76"/>
      <c r="M38" s="65">
        <f t="shared" si="0"/>
        <v>10831829</v>
      </c>
    </row>
    <row r="39" spans="1:14" hidden="1" x14ac:dyDescent="0.25">
      <c r="A39" s="58">
        <v>44042</v>
      </c>
      <c r="B39" s="76"/>
      <c r="C39" s="60">
        <v>4024864</v>
      </c>
      <c r="D39" s="60">
        <v>2099</v>
      </c>
      <c r="E39" s="60">
        <v>2836474</v>
      </c>
      <c r="F39" s="60">
        <v>0</v>
      </c>
      <c r="G39" s="60">
        <v>562464</v>
      </c>
      <c r="H39" s="60">
        <f>335278+1258380</f>
        <v>1593658</v>
      </c>
      <c r="I39" s="76"/>
      <c r="J39" s="60">
        <v>109390</v>
      </c>
      <c r="K39" s="76"/>
      <c r="M39" s="65">
        <f t="shared" si="0"/>
        <v>9128949</v>
      </c>
    </row>
    <row r="40" spans="1:14" hidden="1" x14ac:dyDescent="0.25">
      <c r="A40" s="58">
        <v>44074</v>
      </c>
      <c r="B40" s="76"/>
      <c r="C40" s="60">
        <v>2732363</v>
      </c>
      <c r="D40" s="60">
        <v>943</v>
      </c>
      <c r="E40" s="60">
        <v>2165794</v>
      </c>
      <c r="F40" s="60">
        <v>0</v>
      </c>
      <c r="G40" s="60">
        <v>497342</v>
      </c>
      <c r="H40" s="60">
        <f>298740+669108+327920</f>
        <v>1295768</v>
      </c>
      <c r="I40" s="76"/>
      <c r="J40" s="60">
        <v>106383</v>
      </c>
      <c r="K40" s="76"/>
      <c r="M40" s="65">
        <f t="shared" si="0"/>
        <v>6798593</v>
      </c>
    </row>
    <row r="41" spans="1:14" hidden="1" x14ac:dyDescent="0.25">
      <c r="A41" s="58">
        <v>44104</v>
      </c>
      <c r="B41" s="76"/>
      <c r="C41" s="60">
        <v>2948480</v>
      </c>
      <c r="D41" s="60">
        <v>816</v>
      </c>
      <c r="E41" s="60">
        <v>2450387</v>
      </c>
      <c r="F41" s="60">
        <v>0</v>
      </c>
      <c r="G41" s="60">
        <v>620797</v>
      </c>
      <c r="H41" s="60">
        <f>341767+949070</f>
        <v>1290837</v>
      </c>
      <c r="I41" s="76"/>
      <c r="J41" s="60">
        <v>100500</v>
      </c>
      <c r="K41" s="76"/>
      <c r="M41" s="65">
        <f t="shared" si="0"/>
        <v>7411817</v>
      </c>
    </row>
    <row r="42" spans="1:14" hidden="1" x14ac:dyDescent="0.25">
      <c r="A42" s="58">
        <v>44135</v>
      </c>
      <c r="B42" s="76"/>
      <c r="C42" s="60">
        <v>4232461</v>
      </c>
      <c r="D42" s="60">
        <v>643</v>
      </c>
      <c r="E42" s="60">
        <v>3183599</v>
      </c>
      <c r="F42" s="60">
        <v>0</v>
      </c>
      <c r="G42" s="60">
        <v>1000739</v>
      </c>
      <c r="H42" s="60">
        <f>374010+613508+472509</f>
        <v>1460027</v>
      </c>
      <c r="I42" s="76"/>
      <c r="J42" s="60">
        <v>94559</v>
      </c>
      <c r="K42" s="76"/>
      <c r="M42" s="65">
        <f t="shared" si="0"/>
        <v>9972028</v>
      </c>
    </row>
    <row r="43" spans="1:14" hidden="1" x14ac:dyDescent="0.25">
      <c r="A43" s="58">
        <v>44165</v>
      </c>
      <c r="B43" s="76"/>
      <c r="C43" s="60">
        <v>6886950</v>
      </c>
      <c r="D43" s="60">
        <v>3290</v>
      </c>
      <c r="E43" s="60">
        <v>4428383</v>
      </c>
      <c r="F43" s="60">
        <v>0</v>
      </c>
      <c r="G43" s="60">
        <v>615235</v>
      </c>
      <c r="H43" s="60">
        <f>570674+33943+224068</f>
        <v>828685</v>
      </c>
      <c r="I43" s="76"/>
      <c r="J43" s="60">
        <v>178840</v>
      </c>
      <c r="K43" s="76"/>
      <c r="M43" s="65">
        <f t="shared" si="0"/>
        <v>12941383</v>
      </c>
      <c r="N43" s="57" t="s">
        <v>115</v>
      </c>
    </row>
    <row r="44" spans="1:14" hidden="1" x14ac:dyDescent="0.25">
      <c r="A44" s="58">
        <v>44165</v>
      </c>
      <c r="B44" s="76"/>
      <c r="C44" s="60">
        <v>3564962</v>
      </c>
      <c r="D44" s="60">
        <v>0</v>
      </c>
      <c r="E44" s="60">
        <v>2059842</v>
      </c>
      <c r="F44" s="60">
        <v>0</v>
      </c>
      <c r="G44" s="60">
        <v>255052</v>
      </c>
      <c r="H44" s="60">
        <f>268370+108414</f>
        <v>376784</v>
      </c>
      <c r="I44" s="76"/>
      <c r="J44" s="60">
        <v>0</v>
      </c>
      <c r="K44" s="76"/>
      <c r="M44" s="65">
        <f t="shared" si="0"/>
        <v>6256640</v>
      </c>
      <c r="N44" s="57" t="s">
        <v>116</v>
      </c>
    </row>
    <row r="45" spans="1:14" hidden="1" x14ac:dyDescent="0.25">
      <c r="A45" s="58">
        <v>44196</v>
      </c>
      <c r="B45" s="76"/>
      <c r="C45" s="60">
        <v>18475354</v>
      </c>
      <c r="D45" s="60">
        <v>5658</v>
      </c>
      <c r="E45" s="60">
        <v>11995310</v>
      </c>
      <c r="F45" s="60">
        <v>0</v>
      </c>
      <c r="G45" s="60">
        <v>1356324</v>
      </c>
      <c r="H45" s="60">
        <f>419977+1405863+72965</f>
        <v>1898805</v>
      </c>
      <c r="I45" s="76"/>
      <c r="J45" s="60">
        <v>220318</v>
      </c>
      <c r="K45" s="76"/>
      <c r="M45" s="65">
        <f t="shared" si="0"/>
        <v>33951769</v>
      </c>
    </row>
    <row r="46" spans="1:14" hidden="1" x14ac:dyDescent="0.25">
      <c r="A46" s="58">
        <v>44227</v>
      </c>
      <c r="B46" s="76"/>
      <c r="C46" s="60">
        <v>19685299</v>
      </c>
      <c r="D46" s="60">
        <v>7535</v>
      </c>
      <c r="E46" s="60">
        <v>12906274</v>
      </c>
      <c r="F46" s="60">
        <v>0</v>
      </c>
      <c r="G46" s="60">
        <v>1264480</v>
      </c>
      <c r="H46" s="60">
        <f>431368+96370+1372740</f>
        <v>1900478</v>
      </c>
      <c r="I46" s="76"/>
      <c r="J46" s="60">
        <v>244469</v>
      </c>
      <c r="K46" s="76"/>
      <c r="M46" s="65">
        <f t="shared" si="0"/>
        <v>36008535</v>
      </c>
    </row>
    <row r="47" spans="1:14" hidden="1" x14ac:dyDescent="0.25">
      <c r="A47" s="58">
        <v>44255</v>
      </c>
      <c r="B47" s="76"/>
      <c r="C47" s="60">
        <v>18599534</v>
      </c>
      <c r="D47" s="60">
        <v>12694</v>
      </c>
      <c r="E47" s="60">
        <v>12050270</v>
      </c>
      <c r="F47" s="60">
        <v>0</v>
      </c>
      <c r="G47" s="60">
        <v>1226133</v>
      </c>
      <c r="H47" s="60">
        <f>372501+87285+1326272</f>
        <v>1786058</v>
      </c>
      <c r="I47" s="76"/>
      <c r="J47" s="60">
        <v>248648</v>
      </c>
      <c r="K47" s="76"/>
      <c r="M47" s="65">
        <f t="shared" si="0"/>
        <v>33923337</v>
      </c>
    </row>
    <row r="48" spans="1:14" hidden="1" x14ac:dyDescent="0.25">
      <c r="A48" s="58">
        <v>44286</v>
      </c>
      <c r="B48" s="76"/>
      <c r="C48" s="60">
        <v>19676756</v>
      </c>
      <c r="D48" s="60">
        <v>7553</v>
      </c>
      <c r="E48" s="60">
        <v>13158991</v>
      </c>
      <c r="F48" s="60">
        <v>0</v>
      </c>
      <c r="G48" s="60">
        <v>1362750</v>
      </c>
      <c r="H48" s="60">
        <f>456093+87405+1426247</f>
        <v>1969745</v>
      </c>
      <c r="I48" s="76"/>
      <c r="J48" s="60">
        <v>238893</v>
      </c>
      <c r="K48" s="76"/>
      <c r="M48" s="65">
        <f t="shared" si="0"/>
        <v>36414688</v>
      </c>
    </row>
    <row r="49" spans="1:17" hidden="1" x14ac:dyDescent="0.25">
      <c r="A49" s="58">
        <v>44316</v>
      </c>
      <c r="B49" s="76"/>
      <c r="C49" s="60">
        <v>13567783</v>
      </c>
      <c r="D49" s="60">
        <v>3998</v>
      </c>
      <c r="E49" s="60">
        <v>9154067</v>
      </c>
      <c r="F49" s="60">
        <v>0</v>
      </c>
      <c r="G49" s="60">
        <v>1066951</v>
      </c>
      <c r="H49" s="60">
        <f>426217+58190+1098911</f>
        <v>1583318</v>
      </c>
      <c r="I49" s="76"/>
      <c r="J49" s="60">
        <v>235545</v>
      </c>
      <c r="K49" s="76"/>
      <c r="M49" s="65">
        <f t="shared" si="0"/>
        <v>25611662</v>
      </c>
    </row>
    <row r="50" spans="1:17" hidden="1" x14ac:dyDescent="0.25">
      <c r="A50" s="58">
        <v>44347</v>
      </c>
      <c r="B50" s="76"/>
      <c r="C50" s="60">
        <v>6623364</v>
      </c>
      <c r="D50" s="60">
        <v>2200</v>
      </c>
      <c r="E50" s="60">
        <v>4930955</v>
      </c>
      <c r="F50" s="60">
        <v>0</v>
      </c>
      <c r="G50" s="60">
        <v>680086</v>
      </c>
      <c r="H50" s="60">
        <f>286219+35726+618462</f>
        <v>940407</v>
      </c>
      <c r="I50" s="76"/>
      <c r="J50" s="60">
        <v>180576</v>
      </c>
      <c r="K50" s="76"/>
      <c r="M50" s="65">
        <f t="shared" si="0"/>
        <v>13357588</v>
      </c>
    </row>
    <row r="51" spans="1:17" hidden="1" x14ac:dyDescent="0.25">
      <c r="A51" s="58">
        <v>44377</v>
      </c>
      <c r="B51" s="76"/>
      <c r="C51" s="60">
        <v>5165480</v>
      </c>
      <c r="D51" s="60">
        <v>3602</v>
      </c>
      <c r="E51" s="60">
        <v>4017478</v>
      </c>
      <c r="F51" s="60">
        <v>0</v>
      </c>
      <c r="G51" s="60">
        <v>585095</v>
      </c>
      <c r="H51" s="60">
        <f>448138+22913+506621</f>
        <v>977672</v>
      </c>
      <c r="I51" s="76"/>
      <c r="J51" s="60">
        <v>143789</v>
      </c>
      <c r="K51" s="76"/>
      <c r="M51" s="65">
        <f t="shared" si="0"/>
        <v>10893116</v>
      </c>
    </row>
    <row r="52" spans="1:17" hidden="1" x14ac:dyDescent="0.25">
      <c r="A52" s="58">
        <v>44408</v>
      </c>
      <c r="B52" s="76"/>
      <c r="C52" s="60">
        <v>3043741</v>
      </c>
      <c r="D52" s="60">
        <v>1512</v>
      </c>
      <c r="E52" s="60">
        <v>2731524</v>
      </c>
      <c r="F52" s="60">
        <v>0</v>
      </c>
      <c r="G52" s="60">
        <v>496382</v>
      </c>
      <c r="H52" s="60">
        <f>260037+3579+329987</f>
        <v>593603</v>
      </c>
      <c r="I52" s="76"/>
      <c r="J52" s="60">
        <v>104510</v>
      </c>
      <c r="K52" s="76"/>
      <c r="M52" s="65">
        <f t="shared" si="0"/>
        <v>6971272</v>
      </c>
    </row>
    <row r="53" spans="1:17" hidden="1" x14ac:dyDescent="0.25">
      <c r="A53" s="58">
        <v>44439</v>
      </c>
      <c r="B53" s="76"/>
      <c r="C53" s="60">
        <v>2658664</v>
      </c>
      <c r="D53" s="60">
        <v>1203</v>
      </c>
      <c r="E53" s="60">
        <v>2572912</v>
      </c>
      <c r="F53" s="60">
        <v>0</v>
      </c>
      <c r="G53" s="60">
        <v>465585</v>
      </c>
      <c r="H53" s="60">
        <f>315534+3339+300630</f>
        <v>619503</v>
      </c>
      <c r="I53" s="76"/>
      <c r="J53" s="60">
        <v>88811</v>
      </c>
      <c r="K53" s="76"/>
      <c r="M53" s="65">
        <f t="shared" si="0"/>
        <v>6406678</v>
      </c>
    </row>
    <row r="54" spans="1:17" hidden="1" x14ac:dyDescent="0.25">
      <c r="A54" s="58">
        <v>44469</v>
      </c>
      <c r="B54" s="76"/>
      <c r="C54" s="60">
        <v>3024586</v>
      </c>
      <c r="D54" s="60">
        <v>1834</v>
      </c>
      <c r="E54" s="60">
        <v>2784423</v>
      </c>
      <c r="F54" s="60">
        <v>0</v>
      </c>
      <c r="G54" s="60">
        <v>585259</v>
      </c>
      <c r="H54" s="60">
        <f>292711+3577+319073</f>
        <v>615361</v>
      </c>
      <c r="I54" s="76"/>
      <c r="J54" s="60">
        <v>103033</v>
      </c>
      <c r="K54" s="76"/>
      <c r="M54" s="65">
        <f t="shared" si="0"/>
        <v>7114496</v>
      </c>
    </row>
    <row r="55" spans="1:17" hidden="1" x14ac:dyDescent="0.25">
      <c r="A55" s="58">
        <v>44500</v>
      </c>
      <c r="B55" s="76"/>
      <c r="C55" s="60">
        <v>5302722</v>
      </c>
      <c r="D55" s="60">
        <v>2215</v>
      </c>
      <c r="E55" s="60">
        <v>3968867</v>
      </c>
      <c r="F55" s="60">
        <v>0</v>
      </c>
      <c r="G55" s="60">
        <v>1219426</v>
      </c>
      <c r="H55" s="60">
        <f>334722+4202+497258</f>
        <v>836182</v>
      </c>
      <c r="I55" s="76"/>
      <c r="J55" s="60">
        <v>127498</v>
      </c>
      <c r="K55" s="76"/>
      <c r="M55" s="65">
        <f t="shared" si="0"/>
        <v>11456910</v>
      </c>
    </row>
    <row r="56" spans="1:17" x14ac:dyDescent="0.25">
      <c r="A56" s="58">
        <v>44530</v>
      </c>
      <c r="B56" s="76"/>
      <c r="C56" s="60">
        <v>6875152</v>
      </c>
      <c r="D56" s="60">
        <v>3066</v>
      </c>
      <c r="E56" s="60">
        <v>4648667</v>
      </c>
      <c r="F56" s="60">
        <v>0</v>
      </c>
      <c r="G56" s="60">
        <v>687044</v>
      </c>
      <c r="H56" s="60">
        <f>554223+32136+274192</f>
        <v>860551</v>
      </c>
      <c r="I56" s="76"/>
      <c r="J56" s="60">
        <v>188282</v>
      </c>
      <c r="K56" s="76"/>
      <c r="M56" s="65">
        <f t="shared" si="0"/>
        <v>13262762</v>
      </c>
      <c r="N56" s="57" t="s">
        <v>115</v>
      </c>
    </row>
    <row r="57" spans="1:17" x14ac:dyDescent="0.25">
      <c r="A57" s="58">
        <v>44530</v>
      </c>
      <c r="B57" s="76"/>
      <c r="C57" s="60">
        <v>3055417</v>
      </c>
      <c r="D57" s="60">
        <v>0</v>
      </c>
      <c r="E57" s="60">
        <v>1834948</v>
      </c>
      <c r="F57" s="60">
        <v>0</v>
      </c>
      <c r="G57" s="60">
        <v>241794</v>
      </c>
      <c r="H57" s="60">
        <f>233326+98046</f>
        <v>331372</v>
      </c>
      <c r="I57" s="76"/>
      <c r="J57" s="60">
        <v>0</v>
      </c>
      <c r="K57" s="76"/>
      <c r="M57" s="65">
        <f t="shared" si="0"/>
        <v>5463531</v>
      </c>
      <c r="N57" s="57" t="s">
        <v>116</v>
      </c>
      <c r="Q57" s="182"/>
    </row>
    <row r="58" spans="1:17" x14ac:dyDescent="0.25">
      <c r="A58" s="58">
        <v>44561</v>
      </c>
      <c r="B58" s="76"/>
      <c r="C58" s="60">
        <v>16399782</v>
      </c>
      <c r="D58" s="60">
        <v>5052</v>
      </c>
      <c r="E58" s="60">
        <v>10769619</v>
      </c>
      <c r="F58" s="60">
        <v>0</v>
      </c>
      <c r="G58" s="60">
        <v>1371971</v>
      </c>
      <c r="H58" s="60">
        <f>456838+80816+1147081</f>
        <v>1684735</v>
      </c>
      <c r="I58" s="76"/>
      <c r="J58" s="60">
        <v>215369</v>
      </c>
      <c r="K58" s="76"/>
      <c r="M58" s="65">
        <f t="shared" si="0"/>
        <v>30446528</v>
      </c>
    </row>
    <row r="59" spans="1:17" x14ac:dyDescent="0.25">
      <c r="A59" s="58">
        <v>44592</v>
      </c>
      <c r="B59" s="76"/>
      <c r="C59" s="60">
        <v>25738243</v>
      </c>
      <c r="D59" s="60">
        <v>14032</v>
      </c>
      <c r="E59" s="60">
        <v>17429567</v>
      </c>
      <c r="F59" s="60">
        <v>0</v>
      </c>
      <c r="G59" s="60">
        <v>1704248</v>
      </c>
      <c r="H59" s="60">
        <f>503777+159651+1625702</f>
        <v>2289130</v>
      </c>
      <c r="I59" s="76"/>
      <c r="J59" s="60">
        <v>271190</v>
      </c>
      <c r="K59" s="76"/>
      <c r="M59" s="65">
        <f t="shared" si="0"/>
        <v>47446410</v>
      </c>
    </row>
    <row r="60" spans="1:17" x14ac:dyDescent="0.25">
      <c r="A60" s="58">
        <v>44620</v>
      </c>
      <c r="B60" s="76"/>
      <c r="C60" s="60">
        <v>19530273</v>
      </c>
      <c r="D60" s="60">
        <v>12713</v>
      </c>
      <c r="E60" s="60">
        <v>13856753</v>
      </c>
      <c r="F60" s="60">
        <v>0</v>
      </c>
      <c r="G60" s="60">
        <v>1365177</v>
      </c>
      <c r="H60" s="60">
        <f>438477+180786+1319458</f>
        <v>1938721</v>
      </c>
      <c r="I60" s="76"/>
      <c r="J60" s="60">
        <v>257267</v>
      </c>
      <c r="K60" s="76"/>
      <c r="M60" s="65">
        <f t="shared" si="0"/>
        <v>36960904</v>
      </c>
    </row>
    <row r="61" spans="1:17" x14ac:dyDescent="0.25">
      <c r="A61" s="58">
        <v>44651</v>
      </c>
      <c r="B61" s="76"/>
      <c r="C61" s="60">
        <v>18863108</v>
      </c>
      <c r="D61" s="60">
        <v>6643</v>
      </c>
      <c r="E61" s="60">
        <v>13353929</v>
      </c>
      <c r="F61" s="60">
        <v>0</v>
      </c>
      <c r="G61" s="60">
        <v>1544890</v>
      </c>
      <c r="H61" s="60">
        <f>507616+133148+1299201</f>
        <v>1939965</v>
      </c>
      <c r="I61" s="76"/>
      <c r="J61" s="60">
        <v>227538</v>
      </c>
      <c r="K61" s="76"/>
      <c r="M61" s="65">
        <f t="shared" si="0"/>
        <v>35936073</v>
      </c>
    </row>
    <row r="62" spans="1:17" x14ac:dyDescent="0.25">
      <c r="A62" s="58">
        <v>44681</v>
      </c>
      <c r="B62" s="76"/>
      <c r="C62" s="60">
        <v>12434900</v>
      </c>
      <c r="D62" s="60">
        <v>5669</v>
      </c>
      <c r="E62" s="60">
        <v>8644689</v>
      </c>
      <c r="F62" s="60">
        <v>0</v>
      </c>
      <c r="G62" s="60">
        <v>1036159</v>
      </c>
      <c r="H62" s="60">
        <f>377750+88207+901666</f>
        <v>1367623</v>
      </c>
      <c r="I62" s="76"/>
      <c r="J62" s="60">
        <v>220931</v>
      </c>
      <c r="K62" s="76"/>
      <c r="M62" s="65">
        <f t="shared" si="0"/>
        <v>23709971</v>
      </c>
    </row>
    <row r="63" spans="1:17" x14ac:dyDescent="0.25">
      <c r="A63" s="58">
        <v>44712</v>
      </c>
      <c r="B63" s="76"/>
      <c r="C63" s="60">
        <v>10496103</v>
      </c>
      <c r="D63" s="60">
        <v>10961</v>
      </c>
      <c r="E63" s="60">
        <v>7572813</v>
      </c>
      <c r="F63" s="60">
        <v>0</v>
      </c>
      <c r="G63" s="60">
        <v>1008957</v>
      </c>
      <c r="H63" s="60">
        <f>328009+80848+819290</f>
        <v>1228147</v>
      </c>
      <c r="I63" s="76"/>
      <c r="J63" s="60">
        <v>211682</v>
      </c>
      <c r="K63" s="76"/>
      <c r="M63" s="65">
        <f t="shared" si="0"/>
        <v>20528663</v>
      </c>
    </row>
    <row r="64" spans="1:17" x14ac:dyDescent="0.25">
      <c r="A64" s="58">
        <v>44742</v>
      </c>
      <c r="B64" s="76"/>
      <c r="C64" s="60">
        <v>6329476</v>
      </c>
      <c r="D64" s="60">
        <v>5884</v>
      </c>
      <c r="E64" s="60">
        <v>4956571</v>
      </c>
      <c r="F64" s="60">
        <v>0</v>
      </c>
      <c r="G64" s="60">
        <v>757107</v>
      </c>
      <c r="H64" s="60">
        <f>387432+41296+579466</f>
        <v>1008194</v>
      </c>
      <c r="I64" s="76"/>
      <c r="J64" s="60">
        <v>179840</v>
      </c>
      <c r="K64" s="76"/>
      <c r="M64" s="65">
        <f t="shared" si="0"/>
        <v>13237072</v>
      </c>
    </row>
    <row r="65" spans="1:13" x14ac:dyDescent="0.25">
      <c r="A65" s="58">
        <v>44773</v>
      </c>
      <c r="B65" s="76"/>
      <c r="C65" s="60"/>
      <c r="D65" s="60"/>
      <c r="E65" s="60"/>
      <c r="F65" s="60"/>
      <c r="G65" s="60"/>
      <c r="H65" s="60"/>
      <c r="I65" s="76"/>
      <c r="J65" s="60"/>
      <c r="K65" s="76"/>
      <c r="M65" s="65">
        <f t="shared" si="0"/>
        <v>0</v>
      </c>
    </row>
    <row r="66" spans="1:13" x14ac:dyDescent="0.25">
      <c r="A66" s="58">
        <v>44804</v>
      </c>
      <c r="B66" s="76"/>
      <c r="C66" s="60"/>
      <c r="D66" s="60"/>
      <c r="E66" s="60"/>
      <c r="F66" s="60"/>
      <c r="G66" s="60"/>
      <c r="H66" s="60"/>
      <c r="I66" s="76"/>
      <c r="J66" s="60"/>
      <c r="K66" s="76"/>
      <c r="M66" s="65">
        <f t="shared" si="0"/>
        <v>0</v>
      </c>
    </row>
    <row r="67" spans="1:13" x14ac:dyDescent="0.25">
      <c r="A67" s="58">
        <v>44834</v>
      </c>
      <c r="B67" s="76"/>
      <c r="C67" s="60"/>
      <c r="D67" s="60"/>
      <c r="E67" s="60"/>
      <c r="F67" s="60"/>
      <c r="G67" s="60"/>
      <c r="H67" s="60"/>
      <c r="I67" s="76"/>
      <c r="J67" s="60"/>
      <c r="K67" s="76"/>
      <c r="M67" s="65">
        <f t="shared" si="0"/>
        <v>0</v>
      </c>
    </row>
    <row r="68" spans="1:13" x14ac:dyDescent="0.25">
      <c r="A68" s="58">
        <v>44865</v>
      </c>
      <c r="B68" s="76"/>
      <c r="C68" s="60"/>
      <c r="D68" s="60"/>
      <c r="E68" s="60"/>
      <c r="F68" s="60"/>
      <c r="G68" s="60"/>
      <c r="H68" s="60"/>
      <c r="I68" s="76"/>
      <c r="J68" s="60"/>
      <c r="K68" s="76"/>
      <c r="M68" s="65">
        <f t="shared" si="0"/>
        <v>0</v>
      </c>
    </row>
    <row r="70" spans="1:13" x14ac:dyDescent="0.25">
      <c r="B70" s="617" t="s">
        <v>179</v>
      </c>
      <c r="C70" s="617"/>
      <c r="D70" s="617"/>
      <c r="E70" s="617"/>
      <c r="F70" s="617"/>
      <c r="G70" s="617"/>
      <c r="H70" s="617"/>
      <c r="I70" s="617"/>
      <c r="J70" s="617"/>
      <c r="K70" s="617"/>
    </row>
    <row r="71" spans="1:13" x14ac:dyDescent="0.25">
      <c r="B71" s="59">
        <v>502</v>
      </c>
      <c r="C71" s="59">
        <v>503</v>
      </c>
      <c r="D71" s="59" t="s">
        <v>105</v>
      </c>
      <c r="E71" s="59">
        <v>504</v>
      </c>
      <c r="F71" s="59" t="s">
        <v>106</v>
      </c>
      <c r="G71" s="59">
        <v>505</v>
      </c>
      <c r="H71" s="59" t="s">
        <v>151</v>
      </c>
      <c r="I71" s="59">
        <v>512</v>
      </c>
      <c r="J71" s="59">
        <v>570</v>
      </c>
      <c r="K71" s="59">
        <v>577</v>
      </c>
      <c r="M71" s="63" t="s">
        <v>3</v>
      </c>
    </row>
    <row r="72" spans="1:13" hidden="1" x14ac:dyDescent="0.25">
      <c r="A72" s="58">
        <v>43039</v>
      </c>
      <c r="B72" s="62"/>
      <c r="C72" s="62"/>
      <c r="D72" s="62">
        <v>449</v>
      </c>
      <c r="E72" s="62"/>
      <c r="F72" s="62">
        <v>555</v>
      </c>
      <c r="G72" s="62"/>
      <c r="H72" s="62"/>
      <c r="I72" s="62"/>
      <c r="J72" s="62">
        <v>194633</v>
      </c>
      <c r="K72" s="62">
        <v>14508</v>
      </c>
      <c r="M72" s="65">
        <f t="shared" ref="M72:M132" si="1">SUM(B72:L72)</f>
        <v>210145</v>
      </c>
    </row>
    <row r="73" spans="1:13" hidden="1" x14ac:dyDescent="0.25">
      <c r="A73" s="58">
        <v>43069</v>
      </c>
      <c r="B73" s="60"/>
      <c r="C73" s="60"/>
      <c r="D73" s="60">
        <v>1372</v>
      </c>
      <c r="E73" s="60"/>
      <c r="F73" s="60">
        <v>372</v>
      </c>
      <c r="G73" s="60"/>
      <c r="H73" s="60"/>
      <c r="I73" s="60"/>
      <c r="J73" s="60">
        <v>212628</v>
      </c>
      <c r="K73" s="60">
        <v>17027</v>
      </c>
      <c r="M73" s="65">
        <f t="shared" si="1"/>
        <v>231399</v>
      </c>
    </row>
    <row r="74" spans="1:13" hidden="1" x14ac:dyDescent="0.25">
      <c r="A74" s="58">
        <v>43100</v>
      </c>
      <c r="B74" s="60"/>
      <c r="C74" s="60"/>
      <c r="D74" s="60">
        <v>2767</v>
      </c>
      <c r="E74" s="60"/>
      <c r="F74" s="60">
        <v>417</v>
      </c>
      <c r="G74" s="60"/>
      <c r="H74" s="60"/>
      <c r="I74" s="60"/>
      <c r="J74" s="60">
        <v>239049</v>
      </c>
      <c r="K74" s="60">
        <v>19015</v>
      </c>
      <c r="M74" s="65">
        <f t="shared" si="1"/>
        <v>261248</v>
      </c>
    </row>
    <row r="75" spans="1:13" hidden="1" x14ac:dyDescent="0.25">
      <c r="A75" s="58">
        <v>43131</v>
      </c>
      <c r="B75" s="60"/>
      <c r="C75" s="60"/>
      <c r="D75" s="60">
        <v>4356</v>
      </c>
      <c r="E75" s="60"/>
      <c r="F75" s="60">
        <v>1267</v>
      </c>
      <c r="G75" s="60"/>
      <c r="H75" s="60"/>
      <c r="I75" s="60"/>
      <c r="J75" s="60">
        <v>230244</v>
      </c>
      <c r="K75" s="60">
        <v>18619</v>
      </c>
      <c r="M75" s="65">
        <f t="shared" si="1"/>
        <v>254486</v>
      </c>
    </row>
    <row r="76" spans="1:13" hidden="1" x14ac:dyDescent="0.25">
      <c r="A76" s="58">
        <v>43159</v>
      </c>
      <c r="B76" s="60"/>
      <c r="C76" s="60"/>
      <c r="D76" s="60">
        <v>5757</v>
      </c>
      <c r="E76" s="60"/>
      <c r="F76" s="60">
        <v>0</v>
      </c>
      <c r="G76" s="60"/>
      <c r="H76" s="60"/>
      <c r="I76" s="60"/>
      <c r="J76" s="60">
        <v>225310</v>
      </c>
      <c r="K76" s="60">
        <v>16849</v>
      </c>
      <c r="M76" s="65">
        <f t="shared" si="1"/>
        <v>247916</v>
      </c>
    </row>
    <row r="77" spans="1:13" hidden="1" x14ac:dyDescent="0.25">
      <c r="A77" s="58">
        <v>43190</v>
      </c>
      <c r="B77" s="60"/>
      <c r="C77" s="60"/>
      <c r="D77" s="60">
        <v>4526</v>
      </c>
      <c r="E77" s="60"/>
      <c r="F77" s="60">
        <v>51</v>
      </c>
      <c r="G77" s="60"/>
      <c r="H77" s="60"/>
      <c r="I77" s="60"/>
      <c r="J77" s="60">
        <v>223925</v>
      </c>
      <c r="K77" s="60">
        <v>16355</v>
      </c>
      <c r="M77" s="65">
        <f t="shared" si="1"/>
        <v>244857</v>
      </c>
    </row>
    <row r="78" spans="1:13" hidden="1" x14ac:dyDescent="0.25">
      <c r="A78" s="58">
        <v>43220</v>
      </c>
      <c r="B78" s="60"/>
      <c r="C78" s="60"/>
      <c r="D78" s="60">
        <v>2823</v>
      </c>
      <c r="E78" s="60"/>
      <c r="F78" s="60">
        <v>0</v>
      </c>
      <c r="G78" s="60"/>
      <c r="H78" s="60"/>
      <c r="I78" s="60"/>
      <c r="J78" s="60">
        <v>187493</v>
      </c>
      <c r="K78" s="60">
        <v>12692</v>
      </c>
      <c r="M78" s="65">
        <f t="shared" si="1"/>
        <v>203008</v>
      </c>
    </row>
    <row r="79" spans="1:13" hidden="1" x14ac:dyDescent="0.25">
      <c r="A79" s="58">
        <v>43251</v>
      </c>
      <c r="B79" s="60"/>
      <c r="C79" s="60"/>
      <c r="D79" s="60">
        <v>520</v>
      </c>
      <c r="E79" s="60"/>
      <c r="F79" s="60">
        <v>0</v>
      </c>
      <c r="G79" s="60"/>
      <c r="H79" s="60"/>
      <c r="I79" s="60"/>
      <c r="J79" s="60">
        <v>135541</v>
      </c>
      <c r="K79" s="60">
        <v>8985</v>
      </c>
      <c r="M79" s="65">
        <f t="shared" si="1"/>
        <v>145046</v>
      </c>
    </row>
    <row r="80" spans="1:13" hidden="1" x14ac:dyDescent="0.25">
      <c r="A80" s="58">
        <v>43281</v>
      </c>
      <c r="B80" s="60"/>
      <c r="C80" s="60"/>
      <c r="D80" s="60">
        <v>438</v>
      </c>
      <c r="E80" s="60"/>
      <c r="F80" s="60">
        <v>167</v>
      </c>
      <c r="G80" s="60"/>
      <c r="H80" s="60"/>
      <c r="I80" s="60"/>
      <c r="J80" s="60">
        <v>107356</v>
      </c>
      <c r="K80" s="60">
        <v>8561</v>
      </c>
      <c r="M80" s="65">
        <f t="shared" si="1"/>
        <v>116522</v>
      </c>
    </row>
    <row r="81" spans="1:13" hidden="1" x14ac:dyDescent="0.25">
      <c r="A81" s="58">
        <v>43312</v>
      </c>
      <c r="B81" s="60"/>
      <c r="C81" s="60"/>
      <c r="D81" s="60">
        <v>124</v>
      </c>
      <c r="E81" s="60"/>
      <c r="F81" s="60">
        <v>0</v>
      </c>
      <c r="G81" s="60"/>
      <c r="H81" s="60"/>
      <c r="I81" s="60"/>
      <c r="J81" s="60">
        <v>111904</v>
      </c>
      <c r="K81" s="60">
        <v>3496</v>
      </c>
      <c r="M81" s="65">
        <f t="shared" si="1"/>
        <v>115524</v>
      </c>
    </row>
    <row r="82" spans="1:13" hidden="1" x14ac:dyDescent="0.25">
      <c r="A82" s="58">
        <v>43343</v>
      </c>
      <c r="B82" s="76"/>
      <c r="C82" s="60"/>
      <c r="D82" s="60">
        <v>158</v>
      </c>
      <c r="E82" s="60"/>
      <c r="F82" s="60">
        <v>359</v>
      </c>
      <c r="G82" s="60"/>
      <c r="H82" s="60"/>
      <c r="I82" s="76"/>
      <c r="J82" s="60">
        <v>93391</v>
      </c>
      <c r="K82" s="76">
        <v>0</v>
      </c>
      <c r="M82" s="65">
        <f t="shared" si="1"/>
        <v>93908</v>
      </c>
    </row>
    <row r="83" spans="1:13" hidden="1" x14ac:dyDescent="0.25">
      <c r="A83" s="58">
        <v>43373</v>
      </c>
      <c r="B83" s="76"/>
      <c r="C83" s="60"/>
      <c r="D83" s="60">
        <v>501</v>
      </c>
      <c r="E83" s="60"/>
      <c r="F83" s="60">
        <v>188</v>
      </c>
      <c r="G83" s="60"/>
      <c r="H83" s="60"/>
      <c r="I83" s="76"/>
      <c r="J83" s="60">
        <v>118645</v>
      </c>
      <c r="K83" s="76"/>
      <c r="M83" s="65">
        <f t="shared" si="1"/>
        <v>119334</v>
      </c>
    </row>
    <row r="84" spans="1:13" hidden="1" x14ac:dyDescent="0.25">
      <c r="A84" s="58">
        <v>43404</v>
      </c>
      <c r="B84" s="76"/>
      <c r="C84" s="60"/>
      <c r="D84" s="60">
        <v>2079</v>
      </c>
      <c r="E84" s="60"/>
      <c r="F84" s="60">
        <v>21</v>
      </c>
      <c r="G84" s="60"/>
      <c r="H84" s="60"/>
      <c r="I84" s="76"/>
      <c r="J84" s="60">
        <v>197742</v>
      </c>
      <c r="K84" s="76"/>
      <c r="M84" s="65">
        <f t="shared" si="1"/>
        <v>199842</v>
      </c>
    </row>
    <row r="85" spans="1:13" hidden="1" x14ac:dyDescent="0.25">
      <c r="A85" s="58">
        <v>43434</v>
      </c>
      <c r="B85" s="76"/>
      <c r="C85" s="60"/>
      <c r="D85" s="60">
        <v>3464</v>
      </c>
      <c r="E85" s="60"/>
      <c r="F85" s="60">
        <v>63</v>
      </c>
      <c r="G85" s="60"/>
      <c r="H85" s="60"/>
      <c r="I85" s="76"/>
      <c r="J85" s="60">
        <v>217688</v>
      </c>
      <c r="K85" s="76"/>
      <c r="M85" s="65">
        <f t="shared" si="1"/>
        <v>221215</v>
      </c>
    </row>
    <row r="86" spans="1:13" hidden="1" x14ac:dyDescent="0.25">
      <c r="A86" s="58">
        <v>43465</v>
      </c>
      <c r="B86" s="76"/>
      <c r="C86" s="60"/>
      <c r="D86" s="60">
        <v>4915</v>
      </c>
      <c r="E86" s="60"/>
      <c r="F86" s="60">
        <v>79</v>
      </c>
      <c r="G86" s="60"/>
      <c r="H86" s="60"/>
      <c r="I86" s="76"/>
      <c r="J86" s="60">
        <v>260482</v>
      </c>
      <c r="K86" s="76"/>
      <c r="M86" s="65">
        <f t="shared" si="1"/>
        <v>265476</v>
      </c>
    </row>
    <row r="87" spans="1:13" hidden="1" x14ac:dyDescent="0.25">
      <c r="A87" s="58">
        <v>43496</v>
      </c>
      <c r="B87" s="76"/>
      <c r="C87" s="60"/>
      <c r="D87" s="60">
        <v>4626</v>
      </c>
      <c r="E87" s="60"/>
      <c r="F87" s="60">
        <v>7</v>
      </c>
      <c r="G87" s="60"/>
      <c r="H87" s="60"/>
      <c r="I87" s="76"/>
      <c r="J87" s="60">
        <v>258811</v>
      </c>
      <c r="K87" s="76"/>
      <c r="M87" s="65">
        <f t="shared" si="1"/>
        <v>263444</v>
      </c>
    </row>
    <row r="88" spans="1:13" hidden="1" x14ac:dyDescent="0.25">
      <c r="A88" s="58">
        <v>43524</v>
      </c>
      <c r="B88" s="76"/>
      <c r="C88" s="60"/>
      <c r="D88" s="60">
        <v>5486</v>
      </c>
      <c r="E88" s="60"/>
      <c r="F88" s="60">
        <v>0</v>
      </c>
      <c r="G88" s="60"/>
      <c r="H88" s="60"/>
      <c r="I88" s="76"/>
      <c r="J88" s="60">
        <v>270184</v>
      </c>
      <c r="K88" s="76"/>
      <c r="M88" s="65">
        <f t="shared" si="1"/>
        <v>275670</v>
      </c>
    </row>
    <row r="89" spans="1:13" hidden="1" x14ac:dyDescent="0.25">
      <c r="A89" s="58">
        <v>43555</v>
      </c>
      <c r="B89" s="76"/>
      <c r="C89" s="60"/>
      <c r="D89" s="60">
        <v>3527</v>
      </c>
      <c r="E89" s="60"/>
      <c r="F89" s="60">
        <v>0</v>
      </c>
      <c r="G89" s="60"/>
      <c r="H89" s="60"/>
      <c r="I89" s="76"/>
      <c r="J89" s="60">
        <v>248145</v>
      </c>
      <c r="K89" s="76"/>
      <c r="M89" s="65">
        <f t="shared" si="1"/>
        <v>251672</v>
      </c>
    </row>
    <row r="90" spans="1:13" hidden="1" x14ac:dyDescent="0.25">
      <c r="A90" s="58">
        <v>43585</v>
      </c>
      <c r="B90" s="76"/>
      <c r="C90" s="60"/>
      <c r="D90" s="60">
        <v>2258</v>
      </c>
      <c r="E90" s="60"/>
      <c r="F90" s="60">
        <v>128</v>
      </c>
      <c r="G90" s="60"/>
      <c r="H90" s="60"/>
      <c r="I90" s="76"/>
      <c r="J90" s="60">
        <v>191467</v>
      </c>
      <c r="K90" s="76"/>
      <c r="M90" s="65">
        <f t="shared" si="1"/>
        <v>193853</v>
      </c>
    </row>
    <row r="91" spans="1:13" hidden="1" x14ac:dyDescent="0.25">
      <c r="A91" s="58">
        <v>43616</v>
      </c>
      <c r="B91" s="76"/>
      <c r="C91" s="60">
        <v>0</v>
      </c>
      <c r="D91" s="60">
        <v>645</v>
      </c>
      <c r="E91" s="60">
        <v>0</v>
      </c>
      <c r="F91" s="60">
        <v>151</v>
      </c>
      <c r="G91" s="60">
        <v>0</v>
      </c>
      <c r="H91" s="60">
        <v>0</v>
      </c>
      <c r="I91" s="76"/>
      <c r="J91" s="60">
        <v>142256</v>
      </c>
      <c r="K91" s="76"/>
      <c r="M91" s="65">
        <f t="shared" si="1"/>
        <v>143052</v>
      </c>
    </row>
    <row r="92" spans="1:13" hidden="1" x14ac:dyDescent="0.25">
      <c r="A92" s="58">
        <v>43646</v>
      </c>
      <c r="B92" s="76"/>
      <c r="C92" s="60">
        <v>0</v>
      </c>
      <c r="D92" s="60">
        <v>367</v>
      </c>
      <c r="E92" s="60">
        <v>0</v>
      </c>
      <c r="F92" s="60">
        <v>0</v>
      </c>
      <c r="G92" s="60">
        <v>0</v>
      </c>
      <c r="H92" s="60">
        <v>0</v>
      </c>
      <c r="I92" s="76"/>
      <c r="J92" s="60">
        <v>110987</v>
      </c>
      <c r="K92" s="76"/>
      <c r="M92" s="65">
        <f t="shared" si="1"/>
        <v>111354</v>
      </c>
    </row>
    <row r="93" spans="1:13" hidden="1" x14ac:dyDescent="0.25">
      <c r="A93" s="58">
        <v>43677</v>
      </c>
      <c r="B93" s="76"/>
      <c r="C93" s="60">
        <v>0</v>
      </c>
      <c r="D93" s="60">
        <v>155</v>
      </c>
      <c r="E93" s="60">
        <v>0</v>
      </c>
      <c r="F93" s="60">
        <v>163</v>
      </c>
      <c r="G93" s="60">
        <v>0</v>
      </c>
      <c r="H93" s="60">
        <v>0</v>
      </c>
      <c r="I93" s="76"/>
      <c r="J93" s="60">
        <v>120028</v>
      </c>
      <c r="K93" s="76"/>
      <c r="M93" s="65">
        <f t="shared" si="1"/>
        <v>120346</v>
      </c>
    </row>
    <row r="94" spans="1:13" hidden="1" x14ac:dyDescent="0.25">
      <c r="A94" s="58">
        <v>43708</v>
      </c>
      <c r="B94" s="76"/>
      <c r="C94" s="60">
        <v>0</v>
      </c>
      <c r="D94" s="60">
        <v>138</v>
      </c>
      <c r="E94" s="60">
        <v>0</v>
      </c>
      <c r="F94" s="60">
        <v>0</v>
      </c>
      <c r="G94" s="60">
        <v>0</v>
      </c>
      <c r="H94" s="60">
        <v>0</v>
      </c>
      <c r="I94" s="76"/>
      <c r="J94" s="60">
        <v>93626</v>
      </c>
      <c r="K94" s="76"/>
      <c r="M94" s="65">
        <f t="shared" si="1"/>
        <v>93764</v>
      </c>
    </row>
    <row r="95" spans="1:13" hidden="1" x14ac:dyDescent="0.25">
      <c r="A95" s="58">
        <v>43738</v>
      </c>
      <c r="B95" s="76"/>
      <c r="C95" s="60">
        <v>0</v>
      </c>
      <c r="D95" s="60">
        <v>619</v>
      </c>
      <c r="E95" s="60">
        <v>0</v>
      </c>
      <c r="F95" s="60">
        <v>411</v>
      </c>
      <c r="G95" s="60">
        <v>0</v>
      </c>
      <c r="H95" s="60">
        <v>0</v>
      </c>
      <c r="I95" s="76"/>
      <c r="J95" s="60">
        <v>111442</v>
      </c>
      <c r="K95" s="76"/>
      <c r="M95" s="65">
        <f t="shared" si="1"/>
        <v>112472</v>
      </c>
    </row>
    <row r="96" spans="1:13" hidden="1" x14ac:dyDescent="0.25">
      <c r="A96" s="58">
        <v>43769</v>
      </c>
      <c r="B96" s="76"/>
      <c r="C96" s="60">
        <v>0</v>
      </c>
      <c r="D96" s="60">
        <v>2955</v>
      </c>
      <c r="E96" s="60">
        <v>0</v>
      </c>
      <c r="F96" s="60">
        <v>317</v>
      </c>
      <c r="G96" s="60">
        <v>0</v>
      </c>
      <c r="H96" s="60">
        <v>1347361</v>
      </c>
      <c r="I96" s="76"/>
      <c r="J96" s="60">
        <v>232820</v>
      </c>
      <c r="K96" s="76"/>
      <c r="M96" s="65">
        <f t="shared" si="1"/>
        <v>1583453</v>
      </c>
    </row>
    <row r="97" spans="1:14" hidden="1" x14ac:dyDescent="0.25">
      <c r="A97" s="58">
        <v>43799</v>
      </c>
      <c r="B97" s="76"/>
      <c r="C97" s="60">
        <v>0</v>
      </c>
      <c r="D97" s="60">
        <v>3958</v>
      </c>
      <c r="E97" s="60">
        <v>0</v>
      </c>
      <c r="F97" s="60">
        <v>491</v>
      </c>
      <c r="G97" s="60">
        <v>0</v>
      </c>
      <c r="H97" s="60">
        <v>1498743</v>
      </c>
      <c r="I97" s="76"/>
      <c r="J97" s="60">
        <v>230233</v>
      </c>
      <c r="K97" s="76"/>
      <c r="M97" s="65">
        <f t="shared" si="1"/>
        <v>1733425</v>
      </c>
    </row>
    <row r="98" spans="1:14" hidden="1" x14ac:dyDescent="0.25">
      <c r="A98" s="58">
        <v>43830</v>
      </c>
      <c r="B98" s="76"/>
      <c r="C98" s="60">
        <v>0</v>
      </c>
      <c r="D98" s="60">
        <v>4552</v>
      </c>
      <c r="E98" s="60">
        <v>0</v>
      </c>
      <c r="F98" s="60">
        <v>261</v>
      </c>
      <c r="G98" s="60">
        <v>0</v>
      </c>
      <c r="H98" s="60">
        <v>1688999</v>
      </c>
      <c r="I98" s="76"/>
      <c r="J98" s="60">
        <v>254015</v>
      </c>
      <c r="K98" s="76"/>
      <c r="M98" s="65">
        <f t="shared" si="1"/>
        <v>1947827</v>
      </c>
    </row>
    <row r="99" spans="1:14" hidden="1" x14ac:dyDescent="0.25">
      <c r="A99" s="58">
        <v>43861</v>
      </c>
      <c r="B99" s="76"/>
      <c r="C99" s="60">
        <v>0</v>
      </c>
      <c r="D99" s="60">
        <v>4887</v>
      </c>
      <c r="E99" s="60">
        <v>0</v>
      </c>
      <c r="F99" s="60">
        <v>85</v>
      </c>
      <c r="G99" s="60">
        <v>0</v>
      </c>
      <c r="H99" s="60">
        <v>1783146</v>
      </c>
      <c r="I99" s="76"/>
      <c r="J99" s="60">
        <v>256203</v>
      </c>
      <c r="K99" s="76"/>
      <c r="M99" s="65">
        <f t="shared" si="1"/>
        <v>2044321</v>
      </c>
    </row>
    <row r="100" spans="1:14" hidden="1" x14ac:dyDescent="0.25">
      <c r="A100" s="58">
        <v>43890</v>
      </c>
      <c r="B100" s="76"/>
      <c r="C100" s="60">
        <v>0</v>
      </c>
      <c r="D100" s="60">
        <v>4650</v>
      </c>
      <c r="E100" s="60">
        <v>0</v>
      </c>
      <c r="F100" s="60">
        <v>341</v>
      </c>
      <c r="G100" s="60">
        <v>0</v>
      </c>
      <c r="H100" s="60">
        <v>1661778</v>
      </c>
      <c r="I100" s="76"/>
      <c r="J100" s="60">
        <v>228991</v>
      </c>
      <c r="K100" s="76"/>
      <c r="M100" s="65">
        <f t="shared" si="1"/>
        <v>1895760</v>
      </c>
    </row>
    <row r="101" spans="1:14" hidden="1" x14ac:dyDescent="0.25">
      <c r="A101" s="58">
        <v>43921</v>
      </c>
      <c r="B101" s="76"/>
      <c r="C101" s="60">
        <v>0</v>
      </c>
      <c r="D101" s="60">
        <v>4903</v>
      </c>
      <c r="E101" s="60">
        <v>0</v>
      </c>
      <c r="F101" s="60">
        <v>182</v>
      </c>
      <c r="G101" s="60">
        <v>0</v>
      </c>
      <c r="H101" s="60">
        <v>1700063</v>
      </c>
      <c r="I101" s="76"/>
      <c r="J101" s="60">
        <v>229265</v>
      </c>
      <c r="K101" s="76"/>
      <c r="M101" s="65">
        <f t="shared" si="1"/>
        <v>1934413</v>
      </c>
    </row>
    <row r="102" spans="1:14" hidden="1" x14ac:dyDescent="0.25">
      <c r="A102" s="58">
        <v>43951</v>
      </c>
      <c r="B102" s="76"/>
      <c r="C102" s="60">
        <v>0</v>
      </c>
      <c r="D102" s="60">
        <v>3889</v>
      </c>
      <c r="E102" s="60">
        <v>0</v>
      </c>
      <c r="F102" s="60">
        <v>193</v>
      </c>
      <c r="G102" s="60">
        <v>0</v>
      </c>
      <c r="H102" s="60">
        <v>1363626</v>
      </c>
      <c r="I102" s="76"/>
      <c r="J102" s="60">
        <v>189521</v>
      </c>
      <c r="K102" s="76"/>
      <c r="M102" s="65">
        <f t="shared" si="1"/>
        <v>1557229</v>
      </c>
    </row>
    <row r="103" spans="1:14" hidden="1" x14ac:dyDescent="0.25">
      <c r="A103" s="58">
        <v>43982</v>
      </c>
      <c r="B103" s="76"/>
      <c r="C103" s="60">
        <v>0</v>
      </c>
      <c r="D103" s="60">
        <v>2219</v>
      </c>
      <c r="E103" s="60">
        <v>0</v>
      </c>
      <c r="F103" s="60">
        <v>0</v>
      </c>
      <c r="G103" s="60">
        <v>0</v>
      </c>
      <c r="H103" s="60">
        <v>948718</v>
      </c>
      <c r="I103" s="76"/>
      <c r="J103" s="60">
        <v>139474</v>
      </c>
      <c r="K103" s="76"/>
      <c r="M103" s="65">
        <f t="shared" si="1"/>
        <v>1090411</v>
      </c>
    </row>
    <row r="104" spans="1:14" hidden="1" x14ac:dyDescent="0.25">
      <c r="A104" s="58">
        <v>44012</v>
      </c>
      <c r="B104" s="76"/>
      <c r="C104" s="60">
        <v>0</v>
      </c>
      <c r="D104" s="60">
        <v>2099</v>
      </c>
      <c r="E104" s="60">
        <v>0</v>
      </c>
      <c r="F104" s="60">
        <v>0</v>
      </c>
      <c r="G104" s="60">
        <v>0</v>
      </c>
      <c r="H104" s="60">
        <v>710086</v>
      </c>
      <c r="I104" s="76"/>
      <c r="J104" s="60">
        <v>109390</v>
      </c>
      <c r="K104" s="76"/>
      <c r="M104" s="65">
        <f t="shared" si="1"/>
        <v>821575</v>
      </c>
    </row>
    <row r="105" spans="1:14" hidden="1" x14ac:dyDescent="0.25">
      <c r="A105" s="58">
        <v>44043</v>
      </c>
      <c r="B105" s="76"/>
      <c r="C105" s="60">
        <v>0</v>
      </c>
      <c r="D105" s="60">
        <v>943</v>
      </c>
      <c r="E105" s="60">
        <v>0</v>
      </c>
      <c r="F105" s="60">
        <v>0</v>
      </c>
      <c r="G105" s="60">
        <v>0</v>
      </c>
      <c r="H105" s="60">
        <v>669108</v>
      </c>
      <c r="I105" s="76"/>
      <c r="J105" s="60">
        <v>106383</v>
      </c>
      <c r="K105" s="76"/>
      <c r="M105" s="65">
        <f t="shared" si="1"/>
        <v>776434</v>
      </c>
    </row>
    <row r="106" spans="1:14" hidden="1" x14ac:dyDescent="0.25">
      <c r="A106" s="58">
        <v>44074</v>
      </c>
      <c r="B106" s="76"/>
      <c r="C106" s="60">
        <v>0</v>
      </c>
      <c r="D106" s="60">
        <v>816</v>
      </c>
      <c r="E106" s="60">
        <v>0</v>
      </c>
      <c r="F106" s="60">
        <v>0</v>
      </c>
      <c r="G106" s="60">
        <v>0</v>
      </c>
      <c r="H106" s="60">
        <v>629019</v>
      </c>
      <c r="I106" s="76"/>
      <c r="J106" s="60">
        <v>100500</v>
      </c>
      <c r="K106" s="76"/>
      <c r="M106" s="65">
        <f t="shared" si="1"/>
        <v>730335</v>
      </c>
    </row>
    <row r="107" spans="1:14" hidden="1" x14ac:dyDescent="0.25">
      <c r="A107" s="58">
        <v>44104</v>
      </c>
      <c r="B107" s="76"/>
      <c r="C107" s="60">
        <v>0</v>
      </c>
      <c r="D107" s="60">
        <v>643</v>
      </c>
      <c r="E107" s="60">
        <v>0</v>
      </c>
      <c r="F107" s="60">
        <v>0</v>
      </c>
      <c r="G107" s="60">
        <v>0</v>
      </c>
      <c r="H107" s="60">
        <v>613508</v>
      </c>
      <c r="I107" s="76"/>
      <c r="J107" s="60">
        <v>94559</v>
      </c>
      <c r="K107" s="76"/>
      <c r="M107" s="65">
        <f t="shared" si="1"/>
        <v>708710</v>
      </c>
    </row>
    <row r="108" spans="1:14" hidden="1" x14ac:dyDescent="0.25">
      <c r="A108" s="58">
        <v>44135</v>
      </c>
      <c r="B108" s="76"/>
      <c r="C108" s="60">
        <v>0</v>
      </c>
      <c r="D108" s="60">
        <v>3290</v>
      </c>
      <c r="E108" s="60">
        <v>0</v>
      </c>
      <c r="F108" s="60">
        <v>0</v>
      </c>
      <c r="G108" s="60">
        <v>0</v>
      </c>
      <c r="H108" s="60">
        <v>33943</v>
      </c>
      <c r="I108" s="76"/>
      <c r="J108" s="60">
        <v>178840</v>
      </c>
      <c r="K108" s="76"/>
      <c r="M108" s="65">
        <f t="shared" si="1"/>
        <v>216073</v>
      </c>
      <c r="N108" s="57" t="s">
        <v>115</v>
      </c>
    </row>
    <row r="109" spans="1:14" hidden="1" x14ac:dyDescent="0.25">
      <c r="A109" s="58">
        <v>44165</v>
      </c>
      <c r="B109" s="76"/>
      <c r="C109" s="60">
        <v>0</v>
      </c>
      <c r="D109" s="60">
        <v>5658</v>
      </c>
      <c r="E109" s="60">
        <v>0</v>
      </c>
      <c r="F109" s="60">
        <v>0</v>
      </c>
      <c r="G109" s="60">
        <v>0</v>
      </c>
      <c r="H109" s="60">
        <v>72965</v>
      </c>
      <c r="I109" s="76"/>
      <c r="J109" s="60">
        <v>220318</v>
      </c>
      <c r="K109" s="76"/>
      <c r="M109" s="65">
        <f t="shared" si="1"/>
        <v>298941</v>
      </c>
      <c r="N109" s="57" t="s">
        <v>116</v>
      </c>
    </row>
    <row r="110" spans="1:14" hidden="1" x14ac:dyDescent="0.25">
      <c r="A110" s="58">
        <v>44196</v>
      </c>
      <c r="B110" s="76"/>
      <c r="C110" s="60">
        <v>0</v>
      </c>
      <c r="D110" s="60">
        <v>7535</v>
      </c>
      <c r="E110" s="60">
        <v>56288</v>
      </c>
      <c r="F110" s="60">
        <v>0</v>
      </c>
      <c r="G110" s="60">
        <v>0</v>
      </c>
      <c r="H110" s="60">
        <v>96370</v>
      </c>
      <c r="I110" s="76"/>
      <c r="J110" s="60">
        <v>244469</v>
      </c>
      <c r="K110" s="76"/>
      <c r="M110" s="65">
        <f t="shared" si="1"/>
        <v>404662</v>
      </c>
    </row>
    <row r="111" spans="1:14" hidden="1" x14ac:dyDescent="0.25">
      <c r="A111" s="58">
        <v>44227</v>
      </c>
      <c r="B111" s="76"/>
      <c r="C111" s="60">
        <v>0</v>
      </c>
      <c r="D111" s="60">
        <v>12694</v>
      </c>
      <c r="E111" s="60">
        <v>0</v>
      </c>
      <c r="F111" s="60">
        <v>0</v>
      </c>
      <c r="G111" s="60">
        <v>0</v>
      </c>
      <c r="H111" s="60">
        <v>87285</v>
      </c>
      <c r="I111" s="76"/>
      <c r="J111" s="60">
        <v>248648</v>
      </c>
      <c r="K111" s="76"/>
      <c r="M111" s="65">
        <f t="shared" si="1"/>
        <v>348627</v>
      </c>
    </row>
    <row r="112" spans="1:14" hidden="1" x14ac:dyDescent="0.25">
      <c r="A112" s="58">
        <v>44255</v>
      </c>
      <c r="B112" s="76"/>
      <c r="C112" s="60">
        <v>0</v>
      </c>
      <c r="D112" s="60">
        <v>7553</v>
      </c>
      <c r="E112" s="60">
        <v>0</v>
      </c>
      <c r="F112" s="60">
        <v>0</v>
      </c>
      <c r="G112" s="60">
        <v>0</v>
      </c>
      <c r="H112" s="60">
        <v>87405</v>
      </c>
      <c r="I112" s="76"/>
      <c r="J112" s="60">
        <v>239855</v>
      </c>
      <c r="K112" s="76"/>
      <c r="M112" s="65">
        <f t="shared" si="1"/>
        <v>334813</v>
      </c>
    </row>
    <row r="113" spans="1:14" hidden="1" x14ac:dyDescent="0.25">
      <c r="A113" s="58">
        <v>44286</v>
      </c>
      <c r="B113" s="76"/>
      <c r="C113" s="60">
        <v>0</v>
      </c>
      <c r="D113" s="60">
        <v>3998</v>
      </c>
      <c r="E113" s="60">
        <v>0</v>
      </c>
      <c r="F113" s="60">
        <v>0</v>
      </c>
      <c r="G113" s="60">
        <v>0</v>
      </c>
      <c r="H113" s="60">
        <v>58190</v>
      </c>
      <c r="I113" s="76"/>
      <c r="J113" s="60">
        <v>235545</v>
      </c>
      <c r="K113" s="76"/>
      <c r="M113" s="65">
        <f t="shared" si="1"/>
        <v>297733</v>
      </c>
    </row>
    <row r="114" spans="1:14" hidden="1" x14ac:dyDescent="0.25">
      <c r="A114" s="58">
        <v>44316</v>
      </c>
      <c r="B114" s="76"/>
      <c r="C114" s="60">
        <v>0</v>
      </c>
      <c r="D114" s="60">
        <v>2200</v>
      </c>
      <c r="E114" s="60">
        <v>0</v>
      </c>
      <c r="F114" s="60">
        <v>0</v>
      </c>
      <c r="G114" s="60">
        <v>0</v>
      </c>
      <c r="H114" s="60">
        <v>35726</v>
      </c>
      <c r="I114" s="76"/>
      <c r="J114" s="60">
        <v>180576</v>
      </c>
      <c r="K114" s="76"/>
      <c r="M114" s="65">
        <f t="shared" si="1"/>
        <v>218502</v>
      </c>
    </row>
    <row r="115" spans="1:14" hidden="1" x14ac:dyDescent="0.25">
      <c r="A115" s="58">
        <v>44347</v>
      </c>
      <c r="B115" s="76"/>
      <c r="C115" s="60">
        <v>0</v>
      </c>
      <c r="D115" s="60">
        <v>3602</v>
      </c>
      <c r="E115" s="60">
        <v>0</v>
      </c>
      <c r="F115" s="60">
        <v>0</v>
      </c>
      <c r="G115" s="60">
        <v>0</v>
      </c>
      <c r="H115" s="60">
        <v>22913</v>
      </c>
      <c r="I115" s="76"/>
      <c r="J115" s="60">
        <v>143789</v>
      </c>
      <c r="K115" s="76"/>
      <c r="M115" s="65">
        <f t="shared" si="1"/>
        <v>170304</v>
      </c>
    </row>
    <row r="116" spans="1:14" hidden="1" x14ac:dyDescent="0.25">
      <c r="A116" s="58">
        <v>44377</v>
      </c>
      <c r="B116" s="76"/>
      <c r="C116" s="60">
        <v>0</v>
      </c>
      <c r="D116" s="60">
        <v>1512</v>
      </c>
      <c r="E116" s="60">
        <v>0</v>
      </c>
      <c r="F116" s="60">
        <v>0</v>
      </c>
      <c r="G116" s="60">
        <v>0</v>
      </c>
      <c r="H116" s="60">
        <v>3579</v>
      </c>
      <c r="I116" s="76"/>
      <c r="J116" s="60">
        <v>104510</v>
      </c>
      <c r="K116" s="76"/>
      <c r="M116" s="65">
        <f t="shared" si="1"/>
        <v>109601</v>
      </c>
    </row>
    <row r="117" spans="1:14" hidden="1" x14ac:dyDescent="0.25">
      <c r="A117" s="58">
        <v>44408</v>
      </c>
      <c r="B117" s="76"/>
      <c r="C117" s="60">
        <v>0</v>
      </c>
      <c r="D117" s="60">
        <v>1203</v>
      </c>
      <c r="E117" s="60">
        <v>0</v>
      </c>
      <c r="F117" s="60">
        <v>0</v>
      </c>
      <c r="G117" s="60">
        <v>0</v>
      </c>
      <c r="H117" s="60">
        <v>3339</v>
      </c>
      <c r="I117" s="76"/>
      <c r="J117" s="60">
        <v>88811</v>
      </c>
      <c r="K117" s="76"/>
      <c r="M117" s="65">
        <f t="shared" si="1"/>
        <v>93353</v>
      </c>
    </row>
    <row r="118" spans="1:14" hidden="1" x14ac:dyDescent="0.25">
      <c r="A118" s="58">
        <v>44439</v>
      </c>
      <c r="B118" s="76"/>
      <c r="C118" s="60">
        <v>0</v>
      </c>
      <c r="D118" s="60">
        <v>1834</v>
      </c>
      <c r="E118" s="60">
        <v>0</v>
      </c>
      <c r="F118" s="60">
        <v>0</v>
      </c>
      <c r="G118" s="60">
        <v>0</v>
      </c>
      <c r="H118" s="60">
        <v>3577</v>
      </c>
      <c r="I118" s="76"/>
      <c r="J118" s="60">
        <v>103033</v>
      </c>
      <c r="K118" s="76"/>
      <c r="M118" s="65">
        <f t="shared" si="1"/>
        <v>108444</v>
      </c>
    </row>
    <row r="119" spans="1:14" hidden="1" x14ac:dyDescent="0.25">
      <c r="A119" s="58">
        <v>44469</v>
      </c>
      <c r="B119" s="76"/>
      <c r="C119" s="60">
        <v>0</v>
      </c>
      <c r="D119" s="60">
        <v>2215</v>
      </c>
      <c r="E119" s="60">
        <v>0</v>
      </c>
      <c r="F119" s="60">
        <v>0</v>
      </c>
      <c r="G119" s="60">
        <v>0</v>
      </c>
      <c r="H119" s="60">
        <v>4202</v>
      </c>
      <c r="I119" s="76"/>
      <c r="J119" s="60">
        <v>127498</v>
      </c>
      <c r="K119" s="76"/>
      <c r="M119" s="65">
        <f t="shared" si="1"/>
        <v>133915</v>
      </c>
    </row>
    <row r="120" spans="1:14" hidden="1" x14ac:dyDescent="0.25">
      <c r="A120" s="58">
        <v>44500</v>
      </c>
      <c r="B120" s="76"/>
      <c r="C120" s="60">
        <v>0</v>
      </c>
      <c r="D120" s="60">
        <v>3066</v>
      </c>
      <c r="E120" s="60">
        <v>0</v>
      </c>
      <c r="F120" s="60">
        <v>0</v>
      </c>
      <c r="G120" s="60">
        <v>0</v>
      </c>
      <c r="H120" s="60">
        <v>32136</v>
      </c>
      <c r="I120" s="76"/>
      <c r="J120" s="60">
        <v>188282</v>
      </c>
      <c r="K120" s="76"/>
      <c r="M120" s="65">
        <f t="shared" si="1"/>
        <v>223484</v>
      </c>
    </row>
    <row r="121" spans="1:14" x14ac:dyDescent="0.25">
      <c r="A121" s="58">
        <v>44530</v>
      </c>
      <c r="B121" s="76"/>
      <c r="C121" s="60">
        <v>0</v>
      </c>
      <c r="D121" s="60">
        <v>5052</v>
      </c>
      <c r="E121" s="60">
        <v>0</v>
      </c>
      <c r="F121" s="60">
        <v>0</v>
      </c>
      <c r="G121" s="60">
        <v>0</v>
      </c>
      <c r="H121" s="60">
        <v>80816</v>
      </c>
      <c r="I121" s="76"/>
      <c r="J121" s="60">
        <v>215369</v>
      </c>
      <c r="K121" s="76"/>
      <c r="M121" s="65">
        <f t="shared" si="1"/>
        <v>301237</v>
      </c>
      <c r="N121" s="57" t="s">
        <v>116</v>
      </c>
    </row>
    <row r="122" spans="1:14" x14ac:dyDescent="0.25">
      <c r="A122" s="58">
        <v>44561</v>
      </c>
      <c r="B122" s="76"/>
      <c r="C122" s="60">
        <v>0</v>
      </c>
      <c r="D122" s="60">
        <v>14032</v>
      </c>
      <c r="E122" s="60">
        <v>0</v>
      </c>
      <c r="F122" s="60">
        <v>0</v>
      </c>
      <c r="G122" s="60">
        <v>0</v>
      </c>
      <c r="H122" s="60">
        <v>101592</v>
      </c>
      <c r="I122" s="76"/>
      <c r="J122" s="60">
        <v>271190</v>
      </c>
      <c r="K122" s="76"/>
      <c r="M122" s="65">
        <f t="shared" si="1"/>
        <v>386814</v>
      </c>
    </row>
    <row r="123" spans="1:14" x14ac:dyDescent="0.25">
      <c r="A123" s="58">
        <v>44592</v>
      </c>
      <c r="B123" s="76"/>
      <c r="C123" s="60">
        <v>0</v>
      </c>
      <c r="D123" s="60">
        <v>12713</v>
      </c>
      <c r="E123" s="60">
        <v>0</v>
      </c>
      <c r="F123" s="60">
        <v>0</v>
      </c>
      <c r="G123" s="60">
        <v>0</v>
      </c>
      <c r="H123" s="60">
        <v>249943</v>
      </c>
      <c r="I123" s="76"/>
      <c r="J123" s="60">
        <v>257267</v>
      </c>
      <c r="K123" s="76"/>
      <c r="M123" s="65">
        <f t="shared" si="1"/>
        <v>519923</v>
      </c>
    </row>
    <row r="124" spans="1:14" x14ac:dyDescent="0.25">
      <c r="A124" s="58">
        <v>44620</v>
      </c>
      <c r="B124" s="76"/>
      <c r="C124" s="60">
        <v>0</v>
      </c>
      <c r="D124" s="60">
        <v>6643</v>
      </c>
      <c r="E124" s="60">
        <v>0</v>
      </c>
      <c r="F124" s="60">
        <v>0</v>
      </c>
      <c r="G124" s="60">
        <v>0</v>
      </c>
      <c r="H124" s="60">
        <v>133148</v>
      </c>
      <c r="I124" s="76"/>
      <c r="J124" s="60">
        <v>227538</v>
      </c>
      <c r="K124" s="76"/>
      <c r="M124" s="65">
        <f t="shared" si="1"/>
        <v>367329</v>
      </c>
    </row>
    <row r="125" spans="1:14" x14ac:dyDescent="0.25">
      <c r="A125" s="58">
        <v>44651</v>
      </c>
      <c r="B125" s="76"/>
      <c r="C125" s="60">
        <v>0</v>
      </c>
      <c r="D125" s="60">
        <v>5669</v>
      </c>
      <c r="E125" s="60">
        <v>0</v>
      </c>
      <c r="F125" s="60">
        <v>0</v>
      </c>
      <c r="G125" s="60">
        <v>0</v>
      </c>
      <c r="H125" s="60">
        <v>88207</v>
      </c>
      <c r="I125" s="76"/>
      <c r="J125" s="60">
        <v>220931</v>
      </c>
      <c r="K125" s="76"/>
      <c r="M125" s="65">
        <f t="shared" si="1"/>
        <v>314807</v>
      </c>
    </row>
    <row r="126" spans="1:14" x14ac:dyDescent="0.25">
      <c r="A126" s="58">
        <v>44681</v>
      </c>
      <c r="B126" s="76"/>
      <c r="C126" s="60">
        <v>0</v>
      </c>
      <c r="D126" s="60">
        <v>10961</v>
      </c>
      <c r="E126" s="60">
        <v>0</v>
      </c>
      <c r="F126" s="60">
        <v>0</v>
      </c>
      <c r="G126" s="60">
        <v>0</v>
      </c>
      <c r="H126" s="60">
        <v>80848</v>
      </c>
      <c r="I126" s="76"/>
      <c r="J126" s="60">
        <v>211682</v>
      </c>
      <c r="K126" s="76"/>
      <c r="M126" s="65">
        <f t="shared" si="1"/>
        <v>303491</v>
      </c>
    </row>
    <row r="127" spans="1:14" x14ac:dyDescent="0.25">
      <c r="A127" s="58">
        <v>44712</v>
      </c>
      <c r="B127" s="76"/>
      <c r="C127" s="60">
        <v>0</v>
      </c>
      <c r="D127" s="60">
        <v>5884</v>
      </c>
      <c r="E127" s="60">
        <v>0</v>
      </c>
      <c r="F127" s="60">
        <v>0</v>
      </c>
      <c r="G127" s="60">
        <v>0</v>
      </c>
      <c r="H127" s="60">
        <v>41296</v>
      </c>
      <c r="I127" s="76"/>
      <c r="J127" s="60">
        <v>179840</v>
      </c>
      <c r="K127" s="76"/>
      <c r="M127" s="65">
        <f t="shared" si="1"/>
        <v>227020</v>
      </c>
    </row>
    <row r="128" spans="1:14" x14ac:dyDescent="0.25">
      <c r="A128" s="58">
        <v>44742</v>
      </c>
      <c r="B128" s="76"/>
      <c r="C128" s="60">
        <v>0</v>
      </c>
      <c r="D128" s="60">
        <v>2608</v>
      </c>
      <c r="E128" s="60">
        <v>0</v>
      </c>
      <c r="F128" s="60">
        <v>0</v>
      </c>
      <c r="G128" s="60">
        <v>0</v>
      </c>
      <c r="H128" s="60">
        <v>10789</v>
      </c>
      <c r="I128" s="76"/>
      <c r="J128" s="60">
        <v>115112</v>
      </c>
      <c r="K128" s="76"/>
      <c r="M128" s="65">
        <f t="shared" si="1"/>
        <v>128509</v>
      </c>
    </row>
    <row r="129" spans="1:13" x14ac:dyDescent="0.25">
      <c r="A129" s="58">
        <v>44773</v>
      </c>
      <c r="B129" s="76"/>
      <c r="C129" s="60"/>
      <c r="D129" s="60"/>
      <c r="E129" s="60"/>
      <c r="F129" s="60"/>
      <c r="G129" s="60"/>
      <c r="H129" s="60"/>
      <c r="I129" s="76"/>
      <c r="J129" s="60"/>
      <c r="K129" s="76"/>
      <c r="M129" s="65">
        <f t="shared" si="1"/>
        <v>0</v>
      </c>
    </row>
    <row r="130" spans="1:13" x14ac:dyDescent="0.25">
      <c r="A130" s="58">
        <v>44804</v>
      </c>
      <c r="B130" s="76"/>
      <c r="C130" s="60"/>
      <c r="D130" s="60"/>
      <c r="E130" s="60"/>
      <c r="F130" s="60"/>
      <c r="G130" s="60"/>
      <c r="H130" s="60"/>
      <c r="I130" s="76"/>
      <c r="J130" s="60"/>
      <c r="K130" s="76"/>
      <c r="M130" s="65">
        <f t="shared" si="1"/>
        <v>0</v>
      </c>
    </row>
    <row r="131" spans="1:13" x14ac:dyDescent="0.25">
      <c r="A131" s="58">
        <v>44834</v>
      </c>
      <c r="B131" s="76"/>
      <c r="C131" s="60"/>
      <c r="D131" s="60"/>
      <c r="E131" s="60"/>
      <c r="F131" s="60"/>
      <c r="G131" s="60"/>
      <c r="H131" s="60"/>
      <c r="I131" s="76"/>
      <c r="J131" s="60"/>
      <c r="K131" s="76"/>
      <c r="M131" s="65">
        <f t="shared" si="1"/>
        <v>0</v>
      </c>
    </row>
    <row r="132" spans="1:13" x14ac:dyDescent="0.25">
      <c r="A132" s="58">
        <v>44865</v>
      </c>
      <c r="B132" s="76"/>
      <c r="C132" s="60"/>
      <c r="D132" s="60"/>
      <c r="E132" s="60"/>
      <c r="F132" s="60"/>
      <c r="G132" s="60"/>
      <c r="H132" s="60"/>
      <c r="I132" s="76"/>
      <c r="J132" s="60"/>
      <c r="K132" s="76"/>
      <c r="M132" s="65">
        <f t="shared" si="1"/>
        <v>0</v>
      </c>
    </row>
    <row r="134" spans="1:13" x14ac:dyDescent="0.25">
      <c r="B134" s="617" t="s">
        <v>104</v>
      </c>
      <c r="C134" s="617"/>
      <c r="D134" s="617"/>
      <c r="E134" s="617"/>
      <c r="F134" s="617"/>
      <c r="G134" s="617"/>
      <c r="H134" s="617"/>
      <c r="I134" s="617"/>
      <c r="J134" s="617"/>
      <c r="K134" s="617"/>
    </row>
    <row r="135" spans="1:13" x14ac:dyDescent="0.25">
      <c r="B135" s="59">
        <v>502</v>
      </c>
      <c r="C135" s="59">
        <v>503</v>
      </c>
      <c r="D135" s="59" t="s">
        <v>105</v>
      </c>
      <c r="E135" s="59">
        <v>504</v>
      </c>
      <c r="F135" s="59" t="s">
        <v>106</v>
      </c>
      <c r="G135" s="59">
        <v>505</v>
      </c>
      <c r="H135" s="59" t="s">
        <v>151</v>
      </c>
      <c r="I135" s="59">
        <v>512</v>
      </c>
      <c r="J135" s="59">
        <v>570</v>
      </c>
      <c r="K135" s="59">
        <v>577</v>
      </c>
      <c r="M135" s="63" t="s">
        <v>3</v>
      </c>
    </row>
    <row r="136" spans="1:13" hidden="1" x14ac:dyDescent="0.25">
      <c r="A136" s="85">
        <v>43069</v>
      </c>
      <c r="B136" s="86">
        <f t="shared" ref="B136:K136" si="2">+B4-B72</f>
        <v>21608</v>
      </c>
      <c r="C136" s="86">
        <f t="shared" si="2"/>
        <v>6713843</v>
      </c>
      <c r="D136" s="86">
        <f t="shared" si="2"/>
        <v>0</v>
      </c>
      <c r="E136" s="86">
        <f t="shared" si="2"/>
        <v>4550202</v>
      </c>
      <c r="F136" s="86">
        <f t="shared" si="2"/>
        <v>0</v>
      </c>
      <c r="G136" s="86">
        <f t="shared" si="2"/>
        <v>687511</v>
      </c>
      <c r="H136" s="86">
        <f t="shared" si="2"/>
        <v>736571</v>
      </c>
      <c r="I136" s="86">
        <f t="shared" si="2"/>
        <v>2035</v>
      </c>
      <c r="J136" s="86">
        <f t="shared" si="2"/>
        <v>0</v>
      </c>
      <c r="K136" s="86">
        <f t="shared" si="2"/>
        <v>0</v>
      </c>
      <c r="L136" s="87"/>
      <c r="M136" s="88">
        <f>SUM(B136:L136)</f>
        <v>12711770</v>
      </c>
    </row>
    <row r="137" spans="1:13" hidden="1" x14ac:dyDescent="0.25">
      <c r="A137" s="85">
        <v>43069</v>
      </c>
      <c r="B137" s="86">
        <f t="shared" ref="B137:K137" si="3">+B5+B73</f>
        <v>17127</v>
      </c>
      <c r="C137" s="86">
        <f t="shared" si="3"/>
        <v>3745285</v>
      </c>
      <c r="D137" s="86">
        <f t="shared" si="3"/>
        <v>1372</v>
      </c>
      <c r="E137" s="86">
        <f t="shared" si="3"/>
        <v>2334076</v>
      </c>
      <c r="F137" s="86">
        <f t="shared" si="3"/>
        <v>372</v>
      </c>
      <c r="G137" s="86">
        <f t="shared" si="3"/>
        <v>298875</v>
      </c>
      <c r="H137" s="86">
        <f t="shared" si="3"/>
        <v>490529</v>
      </c>
      <c r="I137" s="86">
        <f t="shared" si="3"/>
        <v>2035</v>
      </c>
      <c r="J137" s="86">
        <f t="shared" si="3"/>
        <v>212628</v>
      </c>
      <c r="K137" s="86">
        <f t="shared" si="3"/>
        <v>17027</v>
      </c>
      <c r="L137" s="87"/>
      <c r="M137" s="88">
        <f>SUM(B137:L137)</f>
        <v>7119326</v>
      </c>
    </row>
    <row r="138" spans="1:13" hidden="1" x14ac:dyDescent="0.25">
      <c r="A138" s="58">
        <v>43100</v>
      </c>
      <c r="B138" s="60">
        <f t="shared" ref="B138:K138" si="4">+B6-B73+B74</f>
        <v>72197</v>
      </c>
      <c r="C138" s="60">
        <f t="shared" si="4"/>
        <v>16092030</v>
      </c>
      <c r="D138" s="60">
        <f t="shared" si="4"/>
        <v>2767</v>
      </c>
      <c r="E138" s="60">
        <f t="shared" si="4"/>
        <v>10736839</v>
      </c>
      <c r="F138" s="60">
        <f t="shared" si="4"/>
        <v>417</v>
      </c>
      <c r="G138" s="60">
        <f t="shared" si="4"/>
        <v>1399191</v>
      </c>
      <c r="H138" s="60">
        <f t="shared" si="4"/>
        <v>1408500</v>
      </c>
      <c r="I138" s="60">
        <f t="shared" si="4"/>
        <v>3666</v>
      </c>
      <c r="J138" s="60">
        <f t="shared" si="4"/>
        <v>239049</v>
      </c>
      <c r="K138" s="60">
        <f t="shared" si="4"/>
        <v>19015</v>
      </c>
      <c r="M138" s="65">
        <f t="shared" ref="M138:M149" si="5">SUM(B138:L138)</f>
        <v>29973671</v>
      </c>
    </row>
    <row r="139" spans="1:13" hidden="1" x14ac:dyDescent="0.25">
      <c r="A139" s="58">
        <v>43131</v>
      </c>
      <c r="B139" s="60">
        <f t="shared" ref="B139:K139" si="6">+B7-B74+B75</f>
        <v>101143</v>
      </c>
      <c r="C139" s="60">
        <f t="shared" si="6"/>
        <v>22509354</v>
      </c>
      <c r="D139" s="60">
        <f t="shared" si="6"/>
        <v>4356</v>
      </c>
      <c r="E139" s="60">
        <f t="shared" si="6"/>
        <v>15180300</v>
      </c>
      <c r="F139" s="60">
        <f t="shared" si="6"/>
        <v>1267</v>
      </c>
      <c r="G139" s="60">
        <f t="shared" si="6"/>
        <v>1543197</v>
      </c>
      <c r="H139" s="60">
        <f t="shared" si="6"/>
        <v>1970610</v>
      </c>
      <c r="I139" s="60">
        <f t="shared" si="6"/>
        <v>4437</v>
      </c>
      <c r="J139" s="60">
        <f t="shared" si="6"/>
        <v>230244</v>
      </c>
      <c r="K139" s="60">
        <f t="shared" si="6"/>
        <v>18619</v>
      </c>
      <c r="M139" s="65">
        <f t="shared" si="5"/>
        <v>41563527</v>
      </c>
    </row>
    <row r="140" spans="1:13" hidden="1" x14ac:dyDescent="0.25">
      <c r="A140" s="58">
        <v>43159</v>
      </c>
      <c r="B140" s="60">
        <f t="shared" ref="B140:K140" si="7">+B8-B75+B76</f>
        <v>76835</v>
      </c>
      <c r="C140" s="60">
        <f t="shared" si="7"/>
        <v>15853594</v>
      </c>
      <c r="D140" s="60">
        <f t="shared" si="7"/>
        <v>5757</v>
      </c>
      <c r="E140" s="60">
        <f t="shared" si="7"/>
        <v>10866171</v>
      </c>
      <c r="F140" s="60">
        <f t="shared" si="7"/>
        <v>0</v>
      </c>
      <c r="G140" s="60">
        <f t="shared" si="7"/>
        <v>1256468</v>
      </c>
      <c r="H140" s="60">
        <f t="shared" si="7"/>
        <v>1427664</v>
      </c>
      <c r="I140" s="60">
        <f t="shared" si="7"/>
        <v>3570</v>
      </c>
      <c r="J140" s="60">
        <f t="shared" si="7"/>
        <v>225310</v>
      </c>
      <c r="K140" s="60">
        <f t="shared" si="7"/>
        <v>16849</v>
      </c>
      <c r="M140" s="65">
        <f t="shared" si="5"/>
        <v>29732218</v>
      </c>
    </row>
    <row r="141" spans="1:13" hidden="1" x14ac:dyDescent="0.25">
      <c r="A141" s="58">
        <v>43190</v>
      </c>
      <c r="B141" s="60">
        <f t="shared" ref="B141:K141" si="8">+B9-B76+B77</f>
        <v>92051</v>
      </c>
      <c r="C141" s="60">
        <f t="shared" si="8"/>
        <v>18788639</v>
      </c>
      <c r="D141" s="60">
        <f t="shared" si="8"/>
        <v>4526</v>
      </c>
      <c r="E141" s="60">
        <f t="shared" si="8"/>
        <v>12580071</v>
      </c>
      <c r="F141" s="60">
        <f t="shared" si="8"/>
        <v>51</v>
      </c>
      <c r="G141" s="60">
        <f t="shared" si="8"/>
        <v>1403497</v>
      </c>
      <c r="H141" s="60">
        <f t="shared" si="8"/>
        <v>1659310</v>
      </c>
      <c r="I141" s="60">
        <f t="shared" si="8"/>
        <v>4165</v>
      </c>
      <c r="J141" s="60">
        <f t="shared" si="8"/>
        <v>223925</v>
      </c>
      <c r="K141" s="60">
        <f t="shared" si="8"/>
        <v>16355</v>
      </c>
      <c r="M141" s="65">
        <f t="shared" si="5"/>
        <v>34772590</v>
      </c>
    </row>
    <row r="142" spans="1:13" hidden="1" x14ac:dyDescent="0.25">
      <c r="A142" s="58">
        <v>43220</v>
      </c>
      <c r="B142" s="60">
        <f t="shared" ref="B142:K142" si="9">+B10-B77+B78</f>
        <v>56416</v>
      </c>
      <c r="C142" s="60">
        <f t="shared" si="9"/>
        <v>12498389</v>
      </c>
      <c r="D142" s="60">
        <f t="shared" si="9"/>
        <v>2823</v>
      </c>
      <c r="E142" s="60">
        <f t="shared" si="9"/>
        <v>8686632</v>
      </c>
      <c r="F142" s="60">
        <f t="shared" si="9"/>
        <v>0</v>
      </c>
      <c r="G142" s="60">
        <f t="shared" si="9"/>
        <v>1111390</v>
      </c>
      <c r="H142" s="60">
        <f t="shared" si="9"/>
        <v>1413127</v>
      </c>
      <c r="I142" s="60">
        <f t="shared" si="9"/>
        <v>3827</v>
      </c>
      <c r="J142" s="60">
        <f t="shared" si="9"/>
        <v>187493</v>
      </c>
      <c r="K142" s="60">
        <f t="shared" si="9"/>
        <v>12692</v>
      </c>
      <c r="M142" s="65">
        <f t="shared" si="5"/>
        <v>23972789</v>
      </c>
    </row>
    <row r="143" spans="1:13" hidden="1" x14ac:dyDescent="0.25">
      <c r="A143" s="58">
        <v>43251</v>
      </c>
      <c r="B143" s="60">
        <f t="shared" ref="B143:K143" si="10">+B11-B78+B79</f>
        <v>28538</v>
      </c>
      <c r="C143" s="60">
        <f t="shared" si="10"/>
        <v>7376446</v>
      </c>
      <c r="D143" s="60">
        <f t="shared" si="10"/>
        <v>520</v>
      </c>
      <c r="E143" s="60">
        <f t="shared" si="10"/>
        <v>5472382</v>
      </c>
      <c r="F143" s="60">
        <f t="shared" si="10"/>
        <v>0</v>
      </c>
      <c r="G143" s="60">
        <f t="shared" si="10"/>
        <v>803238</v>
      </c>
      <c r="H143" s="60">
        <f t="shared" si="10"/>
        <v>1078540</v>
      </c>
      <c r="I143" s="60">
        <f t="shared" si="10"/>
        <v>4610</v>
      </c>
      <c r="J143" s="60">
        <f t="shared" si="10"/>
        <v>135541</v>
      </c>
      <c r="K143" s="60">
        <f t="shared" si="10"/>
        <v>8985</v>
      </c>
      <c r="M143" s="65">
        <f t="shared" si="5"/>
        <v>14908800</v>
      </c>
    </row>
    <row r="144" spans="1:13" hidden="1" x14ac:dyDescent="0.25">
      <c r="A144" s="58">
        <v>43281</v>
      </c>
      <c r="B144" s="60">
        <f t="shared" ref="B144:K144" si="11">+B12-B79+B80</f>
        <v>10206</v>
      </c>
      <c r="C144" s="60">
        <f t="shared" si="11"/>
        <v>4008784</v>
      </c>
      <c r="D144" s="60">
        <f t="shared" si="11"/>
        <v>438</v>
      </c>
      <c r="E144" s="60">
        <f t="shared" si="11"/>
        <v>3426032</v>
      </c>
      <c r="F144" s="60">
        <f t="shared" si="11"/>
        <v>167</v>
      </c>
      <c r="G144" s="60">
        <f t="shared" si="11"/>
        <v>596675</v>
      </c>
      <c r="H144" s="60">
        <f t="shared" si="11"/>
        <v>769608</v>
      </c>
      <c r="I144" s="60">
        <f t="shared" si="11"/>
        <v>4475</v>
      </c>
      <c r="J144" s="60">
        <f t="shared" si="11"/>
        <v>107356</v>
      </c>
      <c r="K144" s="60">
        <f t="shared" si="11"/>
        <v>8561</v>
      </c>
      <c r="M144" s="65">
        <f t="shared" si="5"/>
        <v>8932302</v>
      </c>
    </row>
    <row r="145" spans="1:18" hidden="1" x14ac:dyDescent="0.25">
      <c r="A145" s="58">
        <v>43312</v>
      </c>
      <c r="B145" s="60">
        <f t="shared" ref="B145:J145" si="12">+B13-B80+B81</f>
        <v>4948</v>
      </c>
      <c r="C145" s="60">
        <f t="shared" si="12"/>
        <v>3117860</v>
      </c>
      <c r="D145" s="60">
        <f t="shared" si="12"/>
        <v>124</v>
      </c>
      <c r="E145" s="60">
        <f t="shared" si="12"/>
        <v>2887016</v>
      </c>
      <c r="F145" s="60">
        <f t="shared" si="12"/>
        <v>0</v>
      </c>
      <c r="G145" s="60">
        <f t="shared" si="12"/>
        <v>526644</v>
      </c>
      <c r="H145" s="60">
        <f t="shared" si="12"/>
        <v>659117</v>
      </c>
      <c r="I145" s="60">
        <f t="shared" si="12"/>
        <v>4195</v>
      </c>
      <c r="J145" s="60">
        <f t="shared" si="12"/>
        <v>111904</v>
      </c>
      <c r="K145" s="78">
        <v>3496</v>
      </c>
      <c r="M145" s="65">
        <f t="shared" si="5"/>
        <v>7315304</v>
      </c>
      <c r="N145" s="81" t="s">
        <v>130</v>
      </c>
      <c r="O145" s="81"/>
      <c r="P145" s="81"/>
      <c r="Q145" s="81"/>
      <c r="R145" s="81"/>
    </row>
    <row r="146" spans="1:18" hidden="1" x14ac:dyDescent="0.25">
      <c r="A146" s="58">
        <v>43343</v>
      </c>
      <c r="B146" s="76"/>
      <c r="C146" s="60">
        <f t="shared" ref="C146:H148" si="13">+C14-C81+C82</f>
        <v>2715109</v>
      </c>
      <c r="D146" s="60">
        <f t="shared" si="13"/>
        <v>158</v>
      </c>
      <c r="E146" s="60">
        <f t="shared" si="13"/>
        <v>2801474</v>
      </c>
      <c r="F146" s="60">
        <f t="shared" si="13"/>
        <v>359</v>
      </c>
      <c r="G146" s="60">
        <f t="shared" si="13"/>
        <v>543579</v>
      </c>
      <c r="H146" s="60">
        <f t="shared" si="13"/>
        <v>651074</v>
      </c>
      <c r="I146" s="76"/>
      <c r="J146" s="79">
        <f>+J14-J81+J82-3496</f>
        <v>98140</v>
      </c>
      <c r="K146" s="76"/>
      <c r="M146" s="65">
        <f t="shared" si="5"/>
        <v>6809893</v>
      </c>
      <c r="N146" s="80" t="s">
        <v>131</v>
      </c>
      <c r="O146" s="80"/>
      <c r="P146" s="80"/>
      <c r="Q146" s="80"/>
      <c r="R146" s="80"/>
    </row>
    <row r="147" spans="1:18" hidden="1" x14ac:dyDescent="0.25">
      <c r="A147" s="58">
        <v>43373</v>
      </c>
      <c r="B147" s="76"/>
      <c r="C147" s="60">
        <f t="shared" si="13"/>
        <v>2809188</v>
      </c>
      <c r="D147" s="60">
        <f t="shared" si="13"/>
        <v>501</v>
      </c>
      <c r="E147" s="60">
        <f t="shared" si="13"/>
        <v>2784183</v>
      </c>
      <c r="F147" s="60">
        <f t="shared" si="13"/>
        <v>188</v>
      </c>
      <c r="G147" s="60">
        <f t="shared" si="13"/>
        <v>648016</v>
      </c>
      <c r="H147" s="60">
        <f t="shared" si="13"/>
        <v>625217</v>
      </c>
      <c r="I147" s="76"/>
      <c r="J147" s="60">
        <f>+J15-J82+J83</f>
        <v>118645</v>
      </c>
      <c r="K147" s="76"/>
      <c r="M147" s="65">
        <f t="shared" si="5"/>
        <v>6985938</v>
      </c>
    </row>
    <row r="148" spans="1:18" hidden="1" x14ac:dyDescent="0.25">
      <c r="A148" s="58">
        <v>43404</v>
      </c>
      <c r="B148" s="76"/>
      <c r="C148" s="60">
        <f t="shared" si="13"/>
        <v>5307116</v>
      </c>
      <c r="D148" s="60">
        <f t="shared" si="13"/>
        <v>2079</v>
      </c>
      <c r="E148" s="60">
        <f t="shared" si="13"/>
        <v>4259766</v>
      </c>
      <c r="F148" s="60">
        <f t="shared" si="13"/>
        <v>21</v>
      </c>
      <c r="G148" s="60">
        <f t="shared" si="13"/>
        <v>1031586</v>
      </c>
      <c r="H148" s="60">
        <f t="shared" si="13"/>
        <v>1121758</v>
      </c>
      <c r="I148" s="76"/>
      <c r="J148" s="60">
        <f>+J16-J83+J84</f>
        <v>197742</v>
      </c>
      <c r="K148" s="76"/>
      <c r="M148" s="65">
        <f t="shared" si="5"/>
        <v>11920068</v>
      </c>
    </row>
    <row r="149" spans="1:18" hidden="1" x14ac:dyDescent="0.25">
      <c r="A149" s="58">
        <v>43434</v>
      </c>
      <c r="B149" s="76"/>
      <c r="C149" s="60">
        <f t="shared" ref="C149:H149" si="14">+C17-C84</f>
        <v>5727490</v>
      </c>
      <c r="D149" s="60">
        <f t="shared" si="14"/>
        <v>0</v>
      </c>
      <c r="E149" s="60">
        <f t="shared" si="14"/>
        <v>4031349</v>
      </c>
      <c r="F149" s="60">
        <f t="shared" si="14"/>
        <v>0</v>
      </c>
      <c r="G149" s="60">
        <f t="shared" si="14"/>
        <v>691277</v>
      </c>
      <c r="H149" s="60">
        <f t="shared" si="14"/>
        <v>567278</v>
      </c>
      <c r="I149" s="76"/>
      <c r="J149" s="60">
        <f>+J17-J84</f>
        <v>0</v>
      </c>
      <c r="K149" s="76"/>
      <c r="M149" s="65">
        <f t="shared" si="5"/>
        <v>11017394</v>
      </c>
    </row>
    <row r="150" spans="1:18" hidden="1" x14ac:dyDescent="0.25">
      <c r="A150" s="58">
        <v>43434</v>
      </c>
      <c r="B150" s="76"/>
      <c r="C150" s="60">
        <f t="shared" ref="C150:H150" si="15">+C18+C85</f>
        <v>3233440</v>
      </c>
      <c r="D150" s="60">
        <f t="shared" si="15"/>
        <v>3464</v>
      </c>
      <c r="E150" s="60">
        <f t="shared" si="15"/>
        <v>2122532</v>
      </c>
      <c r="F150" s="60">
        <f t="shared" si="15"/>
        <v>63</v>
      </c>
      <c r="G150" s="60">
        <f t="shared" si="15"/>
        <v>298083</v>
      </c>
      <c r="H150" s="60">
        <f t="shared" si="15"/>
        <v>409494</v>
      </c>
      <c r="I150" s="76"/>
      <c r="J150" s="60">
        <f>+J18+J85</f>
        <v>217688</v>
      </c>
      <c r="K150" s="76"/>
      <c r="M150" s="65">
        <f t="shared" ref="M150:M160" si="16">SUM(B150:L150)</f>
        <v>6284764</v>
      </c>
    </row>
    <row r="151" spans="1:18" hidden="1" x14ac:dyDescent="0.25">
      <c r="A151" s="58">
        <v>43465</v>
      </c>
      <c r="B151" s="76"/>
      <c r="C151" s="60">
        <f t="shared" ref="C151:H161" si="17">+C19-C85+C86</f>
        <v>17031202</v>
      </c>
      <c r="D151" s="60">
        <f t="shared" si="17"/>
        <v>4915</v>
      </c>
      <c r="E151" s="60">
        <f t="shared" si="17"/>
        <v>11460190</v>
      </c>
      <c r="F151" s="60">
        <f t="shared" si="17"/>
        <v>79</v>
      </c>
      <c r="G151" s="60">
        <f t="shared" si="17"/>
        <v>1475293</v>
      </c>
      <c r="H151" s="60">
        <f t="shared" si="17"/>
        <v>1688938</v>
      </c>
      <c r="I151" s="76"/>
      <c r="J151" s="60">
        <f t="shared" ref="J151:J161" si="18">+J19-J85+J86</f>
        <v>260482</v>
      </c>
      <c r="K151" s="76"/>
      <c r="M151" s="65">
        <f t="shared" si="16"/>
        <v>31921099</v>
      </c>
    </row>
    <row r="152" spans="1:18" hidden="1" x14ac:dyDescent="0.25">
      <c r="A152" s="58">
        <v>43496</v>
      </c>
      <c r="B152" s="76"/>
      <c r="C152" s="60">
        <f t="shared" si="17"/>
        <v>19425579</v>
      </c>
      <c r="D152" s="60">
        <f t="shared" si="17"/>
        <v>4626</v>
      </c>
      <c r="E152" s="60">
        <f t="shared" si="17"/>
        <v>13117967</v>
      </c>
      <c r="F152" s="60">
        <f t="shared" si="17"/>
        <v>7</v>
      </c>
      <c r="G152" s="60">
        <f t="shared" si="17"/>
        <v>1433715</v>
      </c>
      <c r="H152" s="60">
        <f t="shared" si="17"/>
        <v>1808596</v>
      </c>
      <c r="I152" s="76"/>
      <c r="J152" s="60">
        <f t="shared" si="18"/>
        <v>258811</v>
      </c>
      <c r="K152" s="76"/>
      <c r="M152" s="65">
        <f t="shared" si="16"/>
        <v>36049301</v>
      </c>
    </row>
    <row r="153" spans="1:18" hidden="1" x14ac:dyDescent="0.25">
      <c r="A153" s="58">
        <v>43524</v>
      </c>
      <c r="B153" s="76"/>
      <c r="C153" s="60">
        <f t="shared" si="17"/>
        <v>20826493</v>
      </c>
      <c r="D153" s="60">
        <f t="shared" si="17"/>
        <v>5486</v>
      </c>
      <c r="E153" s="60">
        <f t="shared" si="17"/>
        <v>13988227</v>
      </c>
      <c r="F153" s="60">
        <f t="shared" si="17"/>
        <v>0</v>
      </c>
      <c r="G153" s="60">
        <f t="shared" si="17"/>
        <v>1616149</v>
      </c>
      <c r="H153" s="60">
        <f t="shared" si="17"/>
        <v>1853461</v>
      </c>
      <c r="I153" s="76"/>
      <c r="J153" s="60">
        <f t="shared" si="18"/>
        <v>270184</v>
      </c>
      <c r="K153" s="76"/>
      <c r="M153" s="65">
        <f t="shared" si="16"/>
        <v>38560000</v>
      </c>
    </row>
    <row r="154" spans="1:18" hidden="1" x14ac:dyDescent="0.25">
      <c r="A154" s="58">
        <v>43555</v>
      </c>
      <c r="B154" s="76"/>
      <c r="C154" s="60">
        <f t="shared" si="17"/>
        <v>22406676</v>
      </c>
      <c r="D154" s="60">
        <f t="shared" si="17"/>
        <v>3527</v>
      </c>
      <c r="E154" s="60">
        <f t="shared" si="17"/>
        <v>15941825</v>
      </c>
      <c r="F154" s="60">
        <f t="shared" si="17"/>
        <v>0</v>
      </c>
      <c r="G154" s="60">
        <f t="shared" si="17"/>
        <v>1794729</v>
      </c>
      <c r="H154" s="60">
        <f t="shared" si="17"/>
        <v>1994555</v>
      </c>
      <c r="I154" s="76"/>
      <c r="J154" s="60">
        <f t="shared" si="18"/>
        <v>248145</v>
      </c>
      <c r="K154" s="76"/>
      <c r="M154" s="65">
        <f t="shared" si="16"/>
        <v>42389457</v>
      </c>
    </row>
    <row r="155" spans="1:18" hidden="1" x14ac:dyDescent="0.25">
      <c r="A155" s="58">
        <v>43585</v>
      </c>
      <c r="B155" s="76"/>
      <c r="C155" s="60">
        <f t="shared" si="17"/>
        <v>12262358</v>
      </c>
      <c r="D155" s="60">
        <f t="shared" si="17"/>
        <v>2258</v>
      </c>
      <c r="E155" s="60">
        <f t="shared" si="17"/>
        <v>9096547</v>
      </c>
      <c r="F155" s="60">
        <f t="shared" si="17"/>
        <v>128</v>
      </c>
      <c r="G155" s="60">
        <f t="shared" si="17"/>
        <v>1331310</v>
      </c>
      <c r="H155" s="60">
        <f t="shared" si="17"/>
        <v>1367888</v>
      </c>
      <c r="I155" s="76"/>
      <c r="J155" s="60">
        <f t="shared" si="18"/>
        <v>191467</v>
      </c>
      <c r="K155" s="76"/>
      <c r="M155" s="65">
        <f t="shared" si="16"/>
        <v>24251956</v>
      </c>
    </row>
    <row r="156" spans="1:18" hidden="1" x14ac:dyDescent="0.25">
      <c r="A156" s="58">
        <v>43616</v>
      </c>
      <c r="B156" s="76"/>
      <c r="C156" s="60">
        <f t="shared" si="17"/>
        <v>7409569</v>
      </c>
      <c r="D156" s="60">
        <f t="shared" si="17"/>
        <v>645</v>
      </c>
      <c r="E156" s="60">
        <f t="shared" si="17"/>
        <v>5370530</v>
      </c>
      <c r="F156" s="60">
        <f t="shared" si="17"/>
        <v>151</v>
      </c>
      <c r="G156" s="60">
        <f t="shared" si="17"/>
        <v>789879</v>
      </c>
      <c r="H156" s="60">
        <f t="shared" si="17"/>
        <v>959865</v>
      </c>
      <c r="I156" s="76"/>
      <c r="J156" s="60">
        <f t="shared" si="18"/>
        <v>142256</v>
      </c>
      <c r="K156" s="76"/>
      <c r="M156" s="65">
        <f t="shared" si="16"/>
        <v>14672895</v>
      </c>
    </row>
    <row r="157" spans="1:18" hidden="1" x14ac:dyDescent="0.25">
      <c r="A157" s="58">
        <v>43646</v>
      </c>
      <c r="B157" s="76"/>
      <c r="C157" s="60">
        <f t="shared" si="17"/>
        <v>4046705</v>
      </c>
      <c r="D157" s="60">
        <f t="shared" si="17"/>
        <v>367</v>
      </c>
      <c r="E157" s="60">
        <f t="shared" si="17"/>
        <v>3465484</v>
      </c>
      <c r="F157" s="60">
        <f t="shared" si="17"/>
        <v>0</v>
      </c>
      <c r="G157" s="60">
        <f t="shared" si="17"/>
        <v>579038</v>
      </c>
      <c r="H157" s="60">
        <f t="shared" si="17"/>
        <v>754986</v>
      </c>
      <c r="I157" s="76"/>
      <c r="J157" s="60">
        <f t="shared" si="18"/>
        <v>110987</v>
      </c>
      <c r="K157" s="76"/>
      <c r="M157" s="65">
        <f t="shared" si="16"/>
        <v>8957567</v>
      </c>
    </row>
    <row r="158" spans="1:18" hidden="1" x14ac:dyDescent="0.25">
      <c r="A158" s="58">
        <v>43677</v>
      </c>
      <c r="B158" s="76"/>
      <c r="C158" s="60">
        <f t="shared" si="17"/>
        <v>3217527</v>
      </c>
      <c r="D158" s="60">
        <f t="shared" si="17"/>
        <v>155</v>
      </c>
      <c r="E158" s="60">
        <f t="shared" si="17"/>
        <v>3054528</v>
      </c>
      <c r="F158" s="60">
        <f t="shared" si="17"/>
        <v>163</v>
      </c>
      <c r="G158" s="60">
        <f t="shared" si="17"/>
        <v>537168</v>
      </c>
      <c r="H158" s="60">
        <f t="shared" si="17"/>
        <v>721290</v>
      </c>
      <c r="I158" s="76"/>
      <c r="J158" s="60">
        <f t="shared" si="18"/>
        <v>120028</v>
      </c>
      <c r="K158" s="76"/>
      <c r="M158" s="65">
        <f t="shared" si="16"/>
        <v>7650859</v>
      </c>
    </row>
    <row r="159" spans="1:18" hidden="1" x14ac:dyDescent="0.25">
      <c r="A159" s="58">
        <v>43708</v>
      </c>
      <c r="B159" s="76"/>
      <c r="C159" s="60">
        <f t="shared" si="17"/>
        <v>2775098</v>
      </c>
      <c r="D159" s="60">
        <f t="shared" si="17"/>
        <v>138</v>
      </c>
      <c r="E159" s="60">
        <f t="shared" si="17"/>
        <v>2791770</v>
      </c>
      <c r="F159" s="60">
        <f t="shared" si="17"/>
        <v>0</v>
      </c>
      <c r="G159" s="60">
        <f t="shared" si="17"/>
        <v>564404</v>
      </c>
      <c r="H159" s="60">
        <f t="shared" si="17"/>
        <v>751738</v>
      </c>
      <c r="I159" s="76"/>
      <c r="J159" s="60">
        <f t="shared" si="18"/>
        <v>93626</v>
      </c>
      <c r="K159" s="76"/>
      <c r="M159" s="65">
        <f t="shared" si="16"/>
        <v>6976774</v>
      </c>
    </row>
    <row r="160" spans="1:18" hidden="1" x14ac:dyDescent="0.25">
      <c r="A160" s="58">
        <v>43738</v>
      </c>
      <c r="B160" s="76"/>
      <c r="C160" s="60">
        <f t="shared" si="17"/>
        <v>2691847</v>
      </c>
      <c r="D160" s="60">
        <f t="shared" si="17"/>
        <v>619</v>
      </c>
      <c r="E160" s="60">
        <f t="shared" si="17"/>
        <v>2672689</v>
      </c>
      <c r="F160" s="60">
        <f t="shared" si="17"/>
        <v>411</v>
      </c>
      <c r="G160" s="60">
        <f t="shared" si="17"/>
        <v>651984</v>
      </c>
      <c r="H160" s="60">
        <f t="shared" si="17"/>
        <v>657450</v>
      </c>
      <c r="I160" s="76"/>
      <c r="J160" s="60">
        <f t="shared" si="18"/>
        <v>111442</v>
      </c>
      <c r="K160" s="76"/>
      <c r="M160" s="65">
        <f t="shared" si="16"/>
        <v>6786442</v>
      </c>
    </row>
    <row r="161" spans="1:13" hidden="1" x14ac:dyDescent="0.25">
      <c r="A161" s="58">
        <v>43769</v>
      </c>
      <c r="B161" s="76"/>
      <c r="C161" s="60">
        <f t="shared" si="17"/>
        <v>6366467</v>
      </c>
      <c r="D161" s="60">
        <f t="shared" si="17"/>
        <v>2955</v>
      </c>
      <c r="E161" s="60">
        <f t="shared" si="17"/>
        <v>4853452</v>
      </c>
      <c r="F161" s="60">
        <f t="shared" si="17"/>
        <v>317</v>
      </c>
      <c r="G161" s="60">
        <f t="shared" si="17"/>
        <v>1274354</v>
      </c>
      <c r="H161" s="60">
        <f t="shared" si="17"/>
        <v>2440995</v>
      </c>
      <c r="I161" s="76"/>
      <c r="J161" s="60">
        <f t="shared" si="18"/>
        <v>232820</v>
      </c>
      <c r="K161" s="76"/>
      <c r="M161" s="65">
        <f t="shared" ref="M161:M200" si="19">SUM(B161:L161)</f>
        <v>15171360</v>
      </c>
    </row>
    <row r="162" spans="1:13" hidden="1" x14ac:dyDescent="0.25">
      <c r="A162" s="58">
        <v>43799</v>
      </c>
      <c r="B162" s="76"/>
      <c r="C162" s="60">
        <f>+C30-C96</f>
        <v>7622134</v>
      </c>
      <c r="D162" s="60">
        <f t="shared" ref="D162:J162" si="20">+D30-D96</f>
        <v>0</v>
      </c>
      <c r="E162" s="60">
        <f t="shared" si="20"/>
        <v>5319138</v>
      </c>
      <c r="F162" s="60">
        <f t="shared" si="20"/>
        <v>0</v>
      </c>
      <c r="G162" s="60">
        <f t="shared" si="20"/>
        <v>806453</v>
      </c>
      <c r="H162" s="60">
        <f t="shared" si="20"/>
        <v>919140</v>
      </c>
      <c r="I162" s="76"/>
      <c r="J162" s="60">
        <f t="shared" si="20"/>
        <v>0</v>
      </c>
      <c r="K162" s="76"/>
      <c r="M162" s="65">
        <f t="shared" si="19"/>
        <v>14666865</v>
      </c>
    </row>
    <row r="163" spans="1:13" hidden="1" x14ac:dyDescent="0.25">
      <c r="A163" s="58">
        <v>43799</v>
      </c>
      <c r="B163" s="76"/>
      <c r="C163" s="60">
        <f>+C31+C97</f>
        <v>4006834</v>
      </c>
      <c r="D163" s="60">
        <f t="shared" ref="D163:J163" si="21">+D31+D97</f>
        <v>3958</v>
      </c>
      <c r="E163" s="60">
        <f t="shared" si="21"/>
        <v>2589532</v>
      </c>
      <c r="F163" s="60">
        <f t="shared" si="21"/>
        <v>491</v>
      </c>
      <c r="G163" s="60">
        <f t="shared" si="21"/>
        <v>352170</v>
      </c>
      <c r="H163" s="60">
        <f t="shared" si="21"/>
        <v>2101547</v>
      </c>
      <c r="I163" s="76"/>
      <c r="J163" s="60">
        <f t="shared" si="21"/>
        <v>230233</v>
      </c>
      <c r="K163" s="76"/>
      <c r="M163" s="65">
        <f t="shared" si="19"/>
        <v>9284765</v>
      </c>
    </row>
    <row r="164" spans="1:13" hidden="1" x14ac:dyDescent="0.25">
      <c r="A164" s="58">
        <v>43830</v>
      </c>
      <c r="B164" s="76"/>
      <c r="C164" s="60">
        <f>+C32-C97+C98</f>
        <v>17650518</v>
      </c>
      <c r="D164" s="60">
        <f t="shared" ref="D164:H164" si="22">+D32-D97+D98</f>
        <v>4552</v>
      </c>
      <c r="E164" s="60">
        <f t="shared" si="22"/>
        <v>11976706</v>
      </c>
      <c r="F164" s="60">
        <f t="shared" si="22"/>
        <v>261</v>
      </c>
      <c r="G164" s="60">
        <f t="shared" si="22"/>
        <v>1422636</v>
      </c>
      <c r="H164" s="60">
        <f t="shared" si="22"/>
        <v>3327813</v>
      </c>
      <c r="I164" s="76"/>
      <c r="J164" s="60">
        <f t="shared" ref="J164:J174" si="23">+J32-J97+J98</f>
        <v>254015</v>
      </c>
      <c r="K164" s="76"/>
      <c r="M164" s="65">
        <f t="shared" si="19"/>
        <v>34636501</v>
      </c>
    </row>
    <row r="165" spans="1:13" hidden="1" x14ac:dyDescent="0.25">
      <c r="A165" s="58">
        <v>43861</v>
      </c>
      <c r="B165" s="76"/>
      <c r="C165" s="60">
        <f t="shared" ref="C165:H165" si="24">+C33-C98+C99</f>
        <v>21443608</v>
      </c>
      <c r="D165" s="60">
        <f t="shared" si="24"/>
        <v>4887</v>
      </c>
      <c r="E165" s="60">
        <f t="shared" si="24"/>
        <v>14478708</v>
      </c>
      <c r="F165" s="60">
        <f t="shared" si="24"/>
        <v>85</v>
      </c>
      <c r="G165" s="60">
        <f t="shared" si="24"/>
        <v>1522757</v>
      </c>
      <c r="H165" s="60">
        <f t="shared" si="24"/>
        <v>3740763</v>
      </c>
      <c r="I165" s="76"/>
      <c r="J165" s="60">
        <f t="shared" si="23"/>
        <v>256203</v>
      </c>
      <c r="K165" s="76"/>
      <c r="M165" s="65">
        <f t="shared" si="19"/>
        <v>41447011</v>
      </c>
    </row>
    <row r="166" spans="1:13" hidden="1" x14ac:dyDescent="0.25">
      <c r="A166" s="58">
        <v>43890</v>
      </c>
      <c r="B166" s="76"/>
      <c r="C166" s="60">
        <f t="shared" ref="C166:H166" si="25">+C34-C99+C100</f>
        <v>17506775</v>
      </c>
      <c r="D166" s="60">
        <f t="shared" si="25"/>
        <v>4650</v>
      </c>
      <c r="E166" s="60">
        <f t="shared" si="25"/>
        <v>11970901</v>
      </c>
      <c r="F166" s="60">
        <f t="shared" si="25"/>
        <v>341</v>
      </c>
      <c r="G166" s="60">
        <f t="shared" si="25"/>
        <v>1322495</v>
      </c>
      <c r="H166" s="60">
        <f t="shared" si="25"/>
        <v>3282845</v>
      </c>
      <c r="I166" s="76"/>
      <c r="J166" s="60">
        <f t="shared" si="23"/>
        <v>228991</v>
      </c>
      <c r="K166" s="76"/>
      <c r="M166" s="65">
        <f t="shared" si="19"/>
        <v>34316998</v>
      </c>
    </row>
    <row r="167" spans="1:13" hidden="1" x14ac:dyDescent="0.25">
      <c r="A167" s="58">
        <v>43921</v>
      </c>
      <c r="B167" s="76"/>
      <c r="C167" s="60">
        <f t="shared" ref="C167:H167" si="26">+C35-C100+C101</f>
        <v>17635811</v>
      </c>
      <c r="D167" s="60">
        <f t="shared" si="26"/>
        <v>4903</v>
      </c>
      <c r="E167" s="60">
        <f t="shared" si="26"/>
        <v>11812961</v>
      </c>
      <c r="F167" s="60">
        <f t="shared" si="26"/>
        <v>182</v>
      </c>
      <c r="G167" s="60">
        <f t="shared" si="26"/>
        <v>1356275</v>
      </c>
      <c r="H167" s="60">
        <f t="shared" si="26"/>
        <v>3331268</v>
      </c>
      <c r="I167" s="76"/>
      <c r="J167" s="60">
        <f t="shared" si="23"/>
        <v>229265</v>
      </c>
      <c r="K167" s="76"/>
      <c r="M167" s="65">
        <f t="shared" si="19"/>
        <v>34370665</v>
      </c>
    </row>
    <row r="168" spans="1:13" hidden="1" x14ac:dyDescent="0.25">
      <c r="A168" s="58">
        <v>43951</v>
      </c>
      <c r="B168" s="76"/>
      <c r="C168" s="60">
        <f t="shared" ref="C168:H168" si="27">+C36-C101+C102</f>
        <v>13930299</v>
      </c>
      <c r="D168" s="60">
        <f t="shared" si="27"/>
        <v>3889</v>
      </c>
      <c r="E168" s="60">
        <f t="shared" si="27"/>
        <v>8554564</v>
      </c>
      <c r="F168" s="60">
        <f t="shared" si="27"/>
        <v>193</v>
      </c>
      <c r="G168" s="60">
        <f t="shared" si="27"/>
        <v>1128418</v>
      </c>
      <c r="H168" s="60">
        <f t="shared" si="27"/>
        <v>2915737</v>
      </c>
      <c r="I168" s="76"/>
      <c r="J168" s="60">
        <f t="shared" si="23"/>
        <v>189521</v>
      </c>
      <c r="K168" s="76"/>
      <c r="M168" s="65">
        <f t="shared" si="19"/>
        <v>26722621</v>
      </c>
    </row>
    <row r="169" spans="1:13" hidden="1" x14ac:dyDescent="0.25">
      <c r="A169" s="58">
        <v>43982</v>
      </c>
      <c r="B169" s="76"/>
      <c r="C169" s="60">
        <f t="shared" ref="C169:H169" si="28">+C37-C102+C103</f>
        <v>6809502</v>
      </c>
      <c r="D169" s="60">
        <f t="shared" si="28"/>
        <v>2219</v>
      </c>
      <c r="E169" s="60">
        <f t="shared" si="28"/>
        <v>4127918</v>
      </c>
      <c r="F169" s="60">
        <f t="shared" si="28"/>
        <v>0</v>
      </c>
      <c r="G169" s="60">
        <f t="shared" si="28"/>
        <v>713209</v>
      </c>
      <c r="H169" s="60">
        <f t="shared" si="28"/>
        <v>1712627</v>
      </c>
      <c r="I169" s="76"/>
      <c r="J169" s="60">
        <f t="shared" si="23"/>
        <v>139474</v>
      </c>
      <c r="K169" s="76"/>
      <c r="M169" s="65">
        <f t="shared" si="19"/>
        <v>13504949</v>
      </c>
    </row>
    <row r="170" spans="1:13" hidden="1" x14ac:dyDescent="0.25">
      <c r="A170" s="58">
        <v>44012</v>
      </c>
      <c r="B170" s="76"/>
      <c r="C170" s="60">
        <f t="shared" ref="C170:H170" si="29">+C38-C103+C104</f>
        <v>5005480</v>
      </c>
      <c r="D170" s="60">
        <f t="shared" si="29"/>
        <v>2099</v>
      </c>
      <c r="E170" s="60">
        <f t="shared" si="29"/>
        <v>3158885</v>
      </c>
      <c r="F170" s="60">
        <f t="shared" si="29"/>
        <v>0</v>
      </c>
      <c r="G170" s="60">
        <f t="shared" si="29"/>
        <v>637229</v>
      </c>
      <c r="H170" s="60">
        <f t="shared" si="29"/>
        <v>1649795</v>
      </c>
      <c r="I170" s="76"/>
      <c r="J170" s="60">
        <f t="shared" si="23"/>
        <v>109505</v>
      </c>
      <c r="K170" s="76"/>
      <c r="M170" s="65">
        <f t="shared" si="19"/>
        <v>10562993</v>
      </c>
    </row>
    <row r="171" spans="1:13" hidden="1" x14ac:dyDescent="0.25">
      <c r="A171" s="58">
        <v>44043</v>
      </c>
      <c r="B171" s="76"/>
      <c r="C171" s="60">
        <f t="shared" ref="C171:H171" si="30">+C39-C104+C105</f>
        <v>4024864</v>
      </c>
      <c r="D171" s="60">
        <f t="shared" si="30"/>
        <v>943</v>
      </c>
      <c r="E171" s="60">
        <f t="shared" si="30"/>
        <v>2836474</v>
      </c>
      <c r="F171" s="60">
        <f t="shared" si="30"/>
        <v>0</v>
      </c>
      <c r="G171" s="60">
        <f t="shared" si="30"/>
        <v>562464</v>
      </c>
      <c r="H171" s="60">
        <f t="shared" si="30"/>
        <v>1552680</v>
      </c>
      <c r="I171" s="76"/>
      <c r="J171" s="60">
        <f t="shared" si="23"/>
        <v>106383</v>
      </c>
      <c r="K171" s="76"/>
      <c r="M171" s="65">
        <f t="shared" si="19"/>
        <v>9083808</v>
      </c>
    </row>
    <row r="172" spans="1:13" hidden="1" x14ac:dyDescent="0.25">
      <c r="A172" s="58">
        <v>44074</v>
      </c>
      <c r="B172" s="76"/>
      <c r="C172" s="60">
        <f t="shared" ref="C172:H172" si="31">+C40-C105+C106</f>
        <v>2732363</v>
      </c>
      <c r="D172" s="60">
        <f t="shared" si="31"/>
        <v>816</v>
      </c>
      <c r="E172" s="60">
        <f t="shared" si="31"/>
        <v>2165794</v>
      </c>
      <c r="F172" s="60">
        <f t="shared" si="31"/>
        <v>0</v>
      </c>
      <c r="G172" s="60">
        <f t="shared" si="31"/>
        <v>497342</v>
      </c>
      <c r="H172" s="60">
        <f t="shared" si="31"/>
        <v>1255679</v>
      </c>
      <c r="I172" s="76"/>
      <c r="J172" s="60">
        <f t="shared" si="23"/>
        <v>100500</v>
      </c>
      <c r="K172" s="76"/>
      <c r="M172" s="65">
        <f t="shared" si="19"/>
        <v>6752494</v>
      </c>
    </row>
    <row r="173" spans="1:13" hidden="1" x14ac:dyDescent="0.25">
      <c r="A173" s="58">
        <v>44104</v>
      </c>
      <c r="B173" s="76"/>
      <c r="C173" s="60">
        <f t="shared" ref="C173:H173" si="32">+C41-C106+C107</f>
        <v>2948480</v>
      </c>
      <c r="D173" s="60">
        <f t="shared" si="32"/>
        <v>643</v>
      </c>
      <c r="E173" s="60">
        <f t="shared" si="32"/>
        <v>2450387</v>
      </c>
      <c r="F173" s="60">
        <f t="shared" si="32"/>
        <v>0</v>
      </c>
      <c r="G173" s="60">
        <f t="shared" si="32"/>
        <v>620797</v>
      </c>
      <c r="H173" s="60">
        <f t="shared" si="32"/>
        <v>1275326</v>
      </c>
      <c r="I173" s="76"/>
      <c r="J173" s="60">
        <f t="shared" si="23"/>
        <v>94559</v>
      </c>
      <c r="K173" s="76"/>
      <c r="M173" s="65">
        <f t="shared" si="19"/>
        <v>7390192</v>
      </c>
    </row>
    <row r="174" spans="1:13" hidden="1" x14ac:dyDescent="0.25">
      <c r="A174" s="58">
        <v>44135</v>
      </c>
      <c r="B174" s="76"/>
      <c r="C174" s="60">
        <f t="shared" ref="C174:H174" si="33">+C42-C107+C108</f>
        <v>4232461</v>
      </c>
      <c r="D174" s="60">
        <f t="shared" si="33"/>
        <v>3290</v>
      </c>
      <c r="E174" s="60">
        <f t="shared" si="33"/>
        <v>3183599</v>
      </c>
      <c r="F174" s="60">
        <f t="shared" si="33"/>
        <v>0</v>
      </c>
      <c r="G174" s="60">
        <f t="shared" si="33"/>
        <v>1000739</v>
      </c>
      <c r="H174" s="60">
        <f t="shared" si="33"/>
        <v>880462</v>
      </c>
      <c r="I174" s="76"/>
      <c r="J174" s="60">
        <f t="shared" si="23"/>
        <v>178840</v>
      </c>
      <c r="K174" s="76"/>
      <c r="M174" s="65">
        <f t="shared" si="19"/>
        <v>9479391</v>
      </c>
    </row>
    <row r="175" spans="1:13" hidden="1" x14ac:dyDescent="0.25">
      <c r="A175" s="58">
        <v>44165</v>
      </c>
      <c r="B175" s="76"/>
      <c r="C175" s="60">
        <f>+C43-C108</f>
        <v>6886950</v>
      </c>
      <c r="D175" s="60">
        <f t="shared" ref="D175:H175" si="34">+D43-D108</f>
        <v>0</v>
      </c>
      <c r="E175" s="60">
        <f t="shared" si="34"/>
        <v>4428383</v>
      </c>
      <c r="F175" s="60">
        <f t="shared" si="34"/>
        <v>0</v>
      </c>
      <c r="G175" s="60">
        <f t="shared" si="34"/>
        <v>615235</v>
      </c>
      <c r="H175" s="60">
        <f t="shared" si="34"/>
        <v>794742</v>
      </c>
      <c r="I175" s="76"/>
      <c r="J175" s="60">
        <f>+J43-J108</f>
        <v>0</v>
      </c>
      <c r="K175" s="76"/>
      <c r="M175" s="65">
        <f t="shared" si="19"/>
        <v>12725310</v>
      </c>
    </row>
    <row r="176" spans="1:13" hidden="1" x14ac:dyDescent="0.25">
      <c r="A176" s="58">
        <v>44165</v>
      </c>
      <c r="B176" s="76"/>
      <c r="C176" s="60">
        <f t="shared" ref="C176:H176" si="35">+C44+C109</f>
        <v>3564962</v>
      </c>
      <c r="D176" s="60">
        <f t="shared" si="35"/>
        <v>5658</v>
      </c>
      <c r="E176" s="60">
        <f t="shared" si="35"/>
        <v>2059842</v>
      </c>
      <c r="F176" s="60">
        <f t="shared" si="35"/>
        <v>0</v>
      </c>
      <c r="G176" s="60">
        <f t="shared" si="35"/>
        <v>255052</v>
      </c>
      <c r="H176" s="60">
        <f t="shared" si="35"/>
        <v>449749</v>
      </c>
      <c r="I176" s="76"/>
      <c r="J176" s="60">
        <f>+J44+J109</f>
        <v>220318</v>
      </c>
      <c r="K176" s="76"/>
      <c r="M176" s="65">
        <f t="shared" si="19"/>
        <v>6555581</v>
      </c>
    </row>
    <row r="177" spans="1:14" hidden="1" x14ac:dyDescent="0.25">
      <c r="A177" s="58">
        <v>44196</v>
      </c>
      <c r="B177" s="76"/>
      <c r="C177" s="60">
        <f>+C45+C110-C109</f>
        <v>18475354</v>
      </c>
      <c r="D177" s="60">
        <f t="shared" ref="D177:H177" si="36">+D45+D110-D109</f>
        <v>7535</v>
      </c>
      <c r="E177" s="60">
        <f t="shared" si="36"/>
        <v>12051598</v>
      </c>
      <c r="F177" s="60">
        <f t="shared" si="36"/>
        <v>0</v>
      </c>
      <c r="G177" s="60">
        <f t="shared" si="36"/>
        <v>1356324</v>
      </c>
      <c r="H177" s="60">
        <f t="shared" si="36"/>
        <v>1922210</v>
      </c>
      <c r="I177" s="76"/>
      <c r="J177" s="60">
        <f t="shared" ref="J177:J187" si="37">+J45+J110-J109</f>
        <v>244469</v>
      </c>
      <c r="K177" s="76"/>
      <c r="M177" s="65">
        <f t="shared" si="19"/>
        <v>34057490</v>
      </c>
    </row>
    <row r="178" spans="1:14" hidden="1" x14ac:dyDescent="0.25">
      <c r="A178" s="58">
        <v>44227</v>
      </c>
      <c r="B178" s="76"/>
      <c r="C178" s="60">
        <f t="shared" ref="C178:H178" si="38">+C46+C111-C110</f>
        <v>19685299</v>
      </c>
      <c r="D178" s="60">
        <f t="shared" si="38"/>
        <v>12694</v>
      </c>
      <c r="E178" s="60">
        <f t="shared" si="38"/>
        <v>12849986</v>
      </c>
      <c r="F178" s="60">
        <f t="shared" si="38"/>
        <v>0</v>
      </c>
      <c r="G178" s="60">
        <f t="shared" si="38"/>
        <v>1264480</v>
      </c>
      <c r="H178" s="60">
        <f t="shared" si="38"/>
        <v>1891393</v>
      </c>
      <c r="I178" s="76"/>
      <c r="J178" s="60">
        <f t="shared" si="37"/>
        <v>248648</v>
      </c>
      <c r="K178" s="76"/>
      <c r="M178" s="65">
        <f t="shared" si="19"/>
        <v>35952500</v>
      </c>
    </row>
    <row r="179" spans="1:14" hidden="1" x14ac:dyDescent="0.25">
      <c r="A179" s="58">
        <v>44255</v>
      </c>
      <c r="B179" s="76"/>
      <c r="C179" s="60">
        <f t="shared" ref="C179:H179" si="39">+C47+C112-C111</f>
        <v>18599534</v>
      </c>
      <c r="D179" s="60">
        <f t="shared" si="39"/>
        <v>7553</v>
      </c>
      <c r="E179" s="60">
        <f t="shared" si="39"/>
        <v>12050270</v>
      </c>
      <c r="F179" s="60">
        <f t="shared" si="39"/>
        <v>0</v>
      </c>
      <c r="G179" s="60">
        <f t="shared" si="39"/>
        <v>1226133</v>
      </c>
      <c r="H179" s="60">
        <f t="shared" si="39"/>
        <v>1786178</v>
      </c>
      <c r="I179" s="76"/>
      <c r="J179" s="60">
        <f t="shared" si="37"/>
        <v>239855</v>
      </c>
      <c r="K179" s="76"/>
      <c r="M179" s="65">
        <f t="shared" si="19"/>
        <v>33909523</v>
      </c>
    </row>
    <row r="180" spans="1:14" hidden="1" x14ac:dyDescent="0.25">
      <c r="A180" s="58">
        <v>44286</v>
      </c>
      <c r="B180" s="76"/>
      <c r="C180" s="60">
        <f t="shared" ref="C180:H180" si="40">+C48+C113-C112</f>
        <v>19676756</v>
      </c>
      <c r="D180" s="60">
        <f t="shared" si="40"/>
        <v>3998</v>
      </c>
      <c r="E180" s="60">
        <f t="shared" si="40"/>
        <v>13158991</v>
      </c>
      <c r="F180" s="60">
        <f t="shared" si="40"/>
        <v>0</v>
      </c>
      <c r="G180" s="60">
        <f t="shared" si="40"/>
        <v>1362750</v>
      </c>
      <c r="H180" s="60">
        <f t="shared" si="40"/>
        <v>1940530</v>
      </c>
      <c r="I180" s="76"/>
      <c r="J180" s="60">
        <f t="shared" si="37"/>
        <v>234583</v>
      </c>
      <c r="K180" s="76"/>
      <c r="M180" s="65">
        <f t="shared" si="19"/>
        <v>36377608</v>
      </c>
    </row>
    <row r="181" spans="1:14" hidden="1" x14ac:dyDescent="0.25">
      <c r="A181" s="58">
        <v>44316</v>
      </c>
      <c r="B181" s="76"/>
      <c r="C181" s="60">
        <f t="shared" ref="C181:H181" si="41">+C49+C114-C113</f>
        <v>13567783</v>
      </c>
      <c r="D181" s="60">
        <f t="shared" si="41"/>
        <v>2200</v>
      </c>
      <c r="E181" s="60">
        <f t="shared" si="41"/>
        <v>9154067</v>
      </c>
      <c r="F181" s="60">
        <f t="shared" si="41"/>
        <v>0</v>
      </c>
      <c r="G181" s="60">
        <f t="shared" si="41"/>
        <v>1066951</v>
      </c>
      <c r="H181" s="60">
        <f t="shared" si="41"/>
        <v>1560854</v>
      </c>
      <c r="I181" s="76"/>
      <c r="J181" s="60">
        <f t="shared" si="37"/>
        <v>180576</v>
      </c>
      <c r="K181" s="76"/>
      <c r="M181" s="65">
        <f t="shared" si="19"/>
        <v>25532431</v>
      </c>
    </row>
    <row r="182" spans="1:14" hidden="1" x14ac:dyDescent="0.25">
      <c r="A182" s="58">
        <v>44347</v>
      </c>
      <c r="B182" s="76"/>
      <c r="C182" s="60">
        <f t="shared" ref="C182:H182" si="42">+C50+C115-C114</f>
        <v>6623364</v>
      </c>
      <c r="D182" s="60">
        <f t="shared" si="42"/>
        <v>3602</v>
      </c>
      <c r="E182" s="60">
        <f t="shared" si="42"/>
        <v>4930955</v>
      </c>
      <c r="F182" s="60">
        <f t="shared" si="42"/>
        <v>0</v>
      </c>
      <c r="G182" s="60">
        <f t="shared" si="42"/>
        <v>680086</v>
      </c>
      <c r="H182" s="60">
        <f t="shared" si="42"/>
        <v>927594</v>
      </c>
      <c r="I182" s="76"/>
      <c r="J182" s="60">
        <f t="shared" si="37"/>
        <v>143789</v>
      </c>
      <c r="K182" s="76"/>
      <c r="M182" s="65">
        <f t="shared" si="19"/>
        <v>13309390</v>
      </c>
    </row>
    <row r="183" spans="1:14" hidden="1" x14ac:dyDescent="0.25">
      <c r="A183" s="58">
        <v>44377</v>
      </c>
      <c r="B183" s="76"/>
      <c r="C183" s="60">
        <f t="shared" ref="C183:H183" si="43">+C51+C116-C115</f>
        <v>5165480</v>
      </c>
      <c r="D183" s="60">
        <f t="shared" si="43"/>
        <v>1512</v>
      </c>
      <c r="E183" s="60">
        <f t="shared" si="43"/>
        <v>4017478</v>
      </c>
      <c r="F183" s="60">
        <f t="shared" si="43"/>
        <v>0</v>
      </c>
      <c r="G183" s="60">
        <f t="shared" si="43"/>
        <v>585095</v>
      </c>
      <c r="H183" s="60">
        <f t="shared" si="43"/>
        <v>958338</v>
      </c>
      <c r="I183" s="76"/>
      <c r="J183" s="60">
        <f t="shared" si="37"/>
        <v>104510</v>
      </c>
      <c r="K183" s="76"/>
      <c r="M183" s="65">
        <f t="shared" si="19"/>
        <v>10832413</v>
      </c>
    </row>
    <row r="184" spans="1:14" hidden="1" x14ac:dyDescent="0.25">
      <c r="A184" s="58">
        <v>44408</v>
      </c>
      <c r="B184" s="76"/>
      <c r="C184" s="60">
        <f t="shared" ref="C184:H184" si="44">+C52+C117-C116</f>
        <v>3043741</v>
      </c>
      <c r="D184" s="60">
        <f t="shared" si="44"/>
        <v>1203</v>
      </c>
      <c r="E184" s="60">
        <f t="shared" si="44"/>
        <v>2731524</v>
      </c>
      <c r="F184" s="60">
        <f t="shared" si="44"/>
        <v>0</v>
      </c>
      <c r="G184" s="60">
        <f t="shared" si="44"/>
        <v>496382</v>
      </c>
      <c r="H184" s="60">
        <f t="shared" si="44"/>
        <v>593363</v>
      </c>
      <c r="I184" s="76"/>
      <c r="J184" s="60">
        <f t="shared" si="37"/>
        <v>88811</v>
      </c>
      <c r="K184" s="76"/>
      <c r="M184" s="65">
        <f t="shared" si="19"/>
        <v>6955024</v>
      </c>
    </row>
    <row r="185" spans="1:14" hidden="1" x14ac:dyDescent="0.25">
      <c r="A185" s="58">
        <v>44439</v>
      </c>
      <c r="B185" s="76"/>
      <c r="C185" s="60">
        <f t="shared" ref="C185:H185" si="45">+C53+C118-C117</f>
        <v>2658664</v>
      </c>
      <c r="D185" s="60">
        <f t="shared" si="45"/>
        <v>1834</v>
      </c>
      <c r="E185" s="60">
        <f t="shared" si="45"/>
        <v>2572912</v>
      </c>
      <c r="F185" s="60">
        <f t="shared" si="45"/>
        <v>0</v>
      </c>
      <c r="G185" s="60">
        <f t="shared" si="45"/>
        <v>465585</v>
      </c>
      <c r="H185" s="60">
        <f t="shared" si="45"/>
        <v>619741</v>
      </c>
      <c r="I185" s="76"/>
      <c r="J185" s="60">
        <f t="shared" si="37"/>
        <v>103033</v>
      </c>
      <c r="K185" s="76"/>
      <c r="M185" s="65">
        <f t="shared" si="19"/>
        <v>6421769</v>
      </c>
    </row>
    <row r="186" spans="1:14" hidden="1" x14ac:dyDescent="0.25">
      <c r="A186" s="58">
        <v>44469</v>
      </c>
      <c r="B186" s="76"/>
      <c r="C186" s="60">
        <f t="shared" ref="C186:H186" si="46">+C54+C119-C118</f>
        <v>3024586</v>
      </c>
      <c r="D186" s="60">
        <f t="shared" si="46"/>
        <v>2215</v>
      </c>
      <c r="E186" s="60">
        <f t="shared" si="46"/>
        <v>2784423</v>
      </c>
      <c r="F186" s="60">
        <f t="shared" si="46"/>
        <v>0</v>
      </c>
      <c r="G186" s="60">
        <f t="shared" si="46"/>
        <v>585259</v>
      </c>
      <c r="H186" s="60">
        <f t="shared" si="46"/>
        <v>615986</v>
      </c>
      <c r="I186" s="76"/>
      <c r="J186" s="60">
        <f t="shared" si="37"/>
        <v>127498</v>
      </c>
      <c r="K186" s="76"/>
      <c r="M186" s="65">
        <f t="shared" si="19"/>
        <v>7139967</v>
      </c>
    </row>
    <row r="187" spans="1:14" hidden="1" x14ac:dyDescent="0.25">
      <c r="A187" s="58">
        <v>44500</v>
      </c>
      <c r="B187" s="76"/>
      <c r="C187" s="60">
        <f t="shared" ref="C187:H187" si="47">+C55+C120-C119</f>
        <v>5302722</v>
      </c>
      <c r="D187" s="60">
        <f t="shared" si="47"/>
        <v>3066</v>
      </c>
      <c r="E187" s="60">
        <f t="shared" si="47"/>
        <v>3968867</v>
      </c>
      <c r="F187" s="60">
        <f t="shared" si="47"/>
        <v>0</v>
      </c>
      <c r="G187" s="60">
        <f t="shared" si="47"/>
        <v>1219426</v>
      </c>
      <c r="H187" s="60">
        <f t="shared" si="47"/>
        <v>864116</v>
      </c>
      <c r="I187" s="76"/>
      <c r="J187" s="60">
        <f t="shared" si="37"/>
        <v>188282</v>
      </c>
      <c r="K187" s="76"/>
      <c r="M187" s="65">
        <f t="shared" si="19"/>
        <v>11546479</v>
      </c>
    </row>
    <row r="188" spans="1:14" x14ac:dyDescent="0.25">
      <c r="A188" s="58">
        <v>44530</v>
      </c>
      <c r="B188" s="76"/>
      <c r="C188" s="60">
        <f>+C56-C120</f>
        <v>6875152</v>
      </c>
      <c r="D188" s="60">
        <f t="shared" ref="D188:H188" si="48">+D56-D120</f>
        <v>0</v>
      </c>
      <c r="E188" s="60">
        <f t="shared" si="48"/>
        <v>4648667</v>
      </c>
      <c r="F188" s="60">
        <f t="shared" si="48"/>
        <v>0</v>
      </c>
      <c r="G188" s="60">
        <f t="shared" si="48"/>
        <v>687044</v>
      </c>
      <c r="H188" s="60">
        <f t="shared" si="48"/>
        <v>828415</v>
      </c>
      <c r="I188" s="76"/>
      <c r="J188" s="60">
        <f>+J56-J120</f>
        <v>0</v>
      </c>
      <c r="K188" s="76"/>
      <c r="M188" s="65">
        <f t="shared" si="19"/>
        <v>13039278</v>
      </c>
      <c r="N188" s="57" t="s">
        <v>115</v>
      </c>
    </row>
    <row r="189" spans="1:14" x14ac:dyDescent="0.25">
      <c r="A189" s="58">
        <v>44530</v>
      </c>
      <c r="B189" s="76"/>
      <c r="C189" s="60">
        <f>+C57+C121</f>
        <v>3055417</v>
      </c>
      <c r="D189" s="60">
        <f t="shared" ref="D189:H189" si="49">+D57+D121</f>
        <v>5052</v>
      </c>
      <c r="E189" s="60">
        <f t="shared" si="49"/>
        <v>1834948</v>
      </c>
      <c r="F189" s="60">
        <f t="shared" si="49"/>
        <v>0</v>
      </c>
      <c r="G189" s="60">
        <f t="shared" si="49"/>
        <v>241794</v>
      </c>
      <c r="H189" s="60">
        <f t="shared" si="49"/>
        <v>412188</v>
      </c>
      <c r="I189" s="76"/>
      <c r="J189" s="60">
        <f>+J57+J121</f>
        <v>215369</v>
      </c>
      <c r="K189" s="76"/>
      <c r="M189" s="65">
        <f t="shared" si="19"/>
        <v>5764768</v>
      </c>
      <c r="N189" s="57" t="s">
        <v>116</v>
      </c>
    </row>
    <row r="190" spans="1:14" x14ac:dyDescent="0.25">
      <c r="A190" s="58">
        <v>44561</v>
      </c>
      <c r="B190" s="76"/>
      <c r="C190" s="60">
        <f>+C58+C122-C121</f>
        <v>16399782</v>
      </c>
      <c r="D190" s="60">
        <f t="shared" ref="D190:H190" si="50">+D58+D122-D121</f>
        <v>14032</v>
      </c>
      <c r="E190" s="60">
        <f t="shared" si="50"/>
        <v>10769619</v>
      </c>
      <c r="F190" s="60">
        <f t="shared" si="50"/>
        <v>0</v>
      </c>
      <c r="G190" s="60">
        <f t="shared" si="50"/>
        <v>1371971</v>
      </c>
      <c r="H190" s="60">
        <f t="shared" si="50"/>
        <v>1705511</v>
      </c>
      <c r="I190" s="76"/>
      <c r="J190" s="60">
        <f>+J58+J122-J121</f>
        <v>271190</v>
      </c>
      <c r="K190" s="76"/>
      <c r="M190" s="65">
        <f t="shared" si="19"/>
        <v>30532105</v>
      </c>
    </row>
    <row r="191" spans="1:14" x14ac:dyDescent="0.25">
      <c r="A191" s="58">
        <v>44592</v>
      </c>
      <c r="B191" s="76"/>
      <c r="C191" s="60">
        <f t="shared" ref="C191:C200" si="51">+C59+C123-C122</f>
        <v>25738243</v>
      </c>
      <c r="D191" s="60">
        <f t="shared" ref="D191:H191" si="52">+D59+D123-D122</f>
        <v>12713</v>
      </c>
      <c r="E191" s="60">
        <f t="shared" si="52"/>
        <v>17429567</v>
      </c>
      <c r="F191" s="60">
        <f t="shared" si="52"/>
        <v>0</v>
      </c>
      <c r="G191" s="60">
        <f t="shared" si="52"/>
        <v>1704248</v>
      </c>
      <c r="H191" s="60">
        <f t="shared" si="52"/>
        <v>2437481</v>
      </c>
      <c r="I191" s="76"/>
      <c r="J191" s="60">
        <f t="shared" ref="J191" si="53">+J59+J123-J122</f>
        <v>257267</v>
      </c>
      <c r="K191" s="76"/>
      <c r="M191" s="65">
        <f t="shared" si="19"/>
        <v>47579519</v>
      </c>
    </row>
    <row r="192" spans="1:14" x14ac:dyDescent="0.25">
      <c r="A192" s="58">
        <v>44620</v>
      </c>
      <c r="B192" s="76"/>
      <c r="C192" s="60">
        <f t="shared" si="51"/>
        <v>19530273</v>
      </c>
      <c r="D192" s="60">
        <f t="shared" ref="D192:H192" si="54">+D60+D124-D123</f>
        <v>6643</v>
      </c>
      <c r="E192" s="60">
        <f t="shared" si="54"/>
        <v>13856753</v>
      </c>
      <c r="F192" s="60">
        <f t="shared" si="54"/>
        <v>0</v>
      </c>
      <c r="G192" s="60">
        <f t="shared" si="54"/>
        <v>1365177</v>
      </c>
      <c r="H192" s="60">
        <f t="shared" si="54"/>
        <v>1821926</v>
      </c>
      <c r="I192" s="76"/>
      <c r="J192" s="60">
        <f t="shared" ref="J192" si="55">+J60+J124-J123</f>
        <v>227538</v>
      </c>
      <c r="K192" s="76"/>
      <c r="M192" s="65">
        <f t="shared" si="19"/>
        <v>36808310</v>
      </c>
    </row>
    <row r="193" spans="1:13" x14ac:dyDescent="0.25">
      <c r="A193" s="58">
        <v>44651</v>
      </c>
      <c r="B193" s="76"/>
      <c r="C193" s="60">
        <f t="shared" si="51"/>
        <v>18863108</v>
      </c>
      <c r="D193" s="60">
        <f t="shared" ref="D193:H193" si="56">+D61+D125-D124</f>
        <v>5669</v>
      </c>
      <c r="E193" s="60">
        <f t="shared" si="56"/>
        <v>13353929</v>
      </c>
      <c r="F193" s="60">
        <f t="shared" si="56"/>
        <v>0</v>
      </c>
      <c r="G193" s="60">
        <f t="shared" si="56"/>
        <v>1544890</v>
      </c>
      <c r="H193" s="60">
        <f t="shared" si="56"/>
        <v>1895024</v>
      </c>
      <c r="I193" s="76"/>
      <c r="J193" s="60">
        <f t="shared" ref="J193" si="57">+J61+J125-J124</f>
        <v>220931</v>
      </c>
      <c r="K193" s="76"/>
      <c r="M193" s="65">
        <f t="shared" si="19"/>
        <v>35883551</v>
      </c>
    </row>
    <row r="194" spans="1:13" x14ac:dyDescent="0.25">
      <c r="A194" s="58">
        <v>44681</v>
      </c>
      <c r="B194" s="76"/>
      <c r="C194" s="60">
        <f t="shared" si="51"/>
        <v>12434900</v>
      </c>
      <c r="D194" s="60">
        <f t="shared" ref="D194:H194" si="58">+D62+D126-D125</f>
        <v>10961</v>
      </c>
      <c r="E194" s="60">
        <f t="shared" si="58"/>
        <v>8644689</v>
      </c>
      <c r="F194" s="60">
        <f t="shared" si="58"/>
        <v>0</v>
      </c>
      <c r="G194" s="60">
        <f t="shared" si="58"/>
        <v>1036159</v>
      </c>
      <c r="H194" s="60">
        <f t="shared" si="58"/>
        <v>1360264</v>
      </c>
      <c r="I194" s="76"/>
      <c r="J194" s="60">
        <f t="shared" ref="J194" si="59">+J62+J126-J125</f>
        <v>211682</v>
      </c>
      <c r="K194" s="76"/>
      <c r="M194" s="65">
        <f t="shared" si="19"/>
        <v>23698655</v>
      </c>
    </row>
    <row r="195" spans="1:13" x14ac:dyDescent="0.25">
      <c r="A195" s="58">
        <v>44712</v>
      </c>
      <c r="B195" s="76"/>
      <c r="C195" s="60">
        <f t="shared" si="51"/>
        <v>10496103</v>
      </c>
      <c r="D195" s="60">
        <f t="shared" ref="D195:H195" si="60">+D63+D127-D126</f>
        <v>5884</v>
      </c>
      <c r="E195" s="60">
        <f t="shared" si="60"/>
        <v>7572813</v>
      </c>
      <c r="F195" s="60">
        <f t="shared" si="60"/>
        <v>0</v>
      </c>
      <c r="G195" s="60">
        <f t="shared" si="60"/>
        <v>1008957</v>
      </c>
      <c r="H195" s="60">
        <f t="shared" si="60"/>
        <v>1188595</v>
      </c>
      <c r="I195" s="76"/>
      <c r="J195" s="60">
        <f t="shared" ref="J195" si="61">+J63+J127-J126</f>
        <v>179840</v>
      </c>
      <c r="K195" s="76"/>
      <c r="M195" s="65">
        <f t="shared" si="19"/>
        <v>20452192</v>
      </c>
    </row>
    <row r="196" spans="1:13" x14ac:dyDescent="0.25">
      <c r="A196" s="58">
        <v>44742</v>
      </c>
      <c r="B196" s="76"/>
      <c r="C196" s="60">
        <f t="shared" si="51"/>
        <v>6329476</v>
      </c>
      <c r="D196" s="60">
        <f t="shared" ref="D196:H196" si="62">+D64+D128-D127</f>
        <v>2608</v>
      </c>
      <c r="E196" s="60">
        <f t="shared" si="62"/>
        <v>4956571</v>
      </c>
      <c r="F196" s="60">
        <f t="shared" si="62"/>
        <v>0</v>
      </c>
      <c r="G196" s="60">
        <f t="shared" si="62"/>
        <v>757107</v>
      </c>
      <c r="H196" s="60">
        <f t="shared" si="62"/>
        <v>977687</v>
      </c>
      <c r="I196" s="76"/>
      <c r="J196" s="60">
        <f t="shared" ref="J196" si="63">+J64+J128-J127</f>
        <v>115112</v>
      </c>
      <c r="K196" s="76"/>
      <c r="M196" s="65">
        <f t="shared" si="19"/>
        <v>13138561</v>
      </c>
    </row>
    <row r="197" spans="1:13" x14ac:dyDescent="0.25">
      <c r="A197" s="58">
        <v>44773</v>
      </c>
      <c r="B197" s="76"/>
      <c r="C197" s="60">
        <f t="shared" si="51"/>
        <v>0</v>
      </c>
      <c r="D197" s="60">
        <f t="shared" ref="D197:H197" si="64">+D65+D129-D128</f>
        <v>-2608</v>
      </c>
      <c r="E197" s="60">
        <f t="shared" si="64"/>
        <v>0</v>
      </c>
      <c r="F197" s="60">
        <f t="shared" si="64"/>
        <v>0</v>
      </c>
      <c r="G197" s="60">
        <f t="shared" si="64"/>
        <v>0</v>
      </c>
      <c r="H197" s="60">
        <f t="shared" si="64"/>
        <v>-10789</v>
      </c>
      <c r="I197" s="76"/>
      <c r="J197" s="60">
        <f t="shared" ref="J197" si="65">+J65+J129-J128</f>
        <v>-115112</v>
      </c>
      <c r="K197" s="76"/>
      <c r="M197" s="65">
        <f t="shared" si="19"/>
        <v>-128509</v>
      </c>
    </row>
    <row r="198" spans="1:13" x14ac:dyDescent="0.25">
      <c r="A198" s="58">
        <v>44804</v>
      </c>
      <c r="B198" s="76"/>
      <c r="C198" s="60">
        <f t="shared" si="51"/>
        <v>0</v>
      </c>
      <c r="D198" s="60">
        <f t="shared" ref="D198:H198" si="66">+D66+D130-D129</f>
        <v>0</v>
      </c>
      <c r="E198" s="60">
        <f t="shared" si="66"/>
        <v>0</v>
      </c>
      <c r="F198" s="60">
        <f t="shared" si="66"/>
        <v>0</v>
      </c>
      <c r="G198" s="60">
        <f t="shared" si="66"/>
        <v>0</v>
      </c>
      <c r="H198" s="60">
        <f t="shared" si="66"/>
        <v>0</v>
      </c>
      <c r="I198" s="76"/>
      <c r="J198" s="60">
        <f t="shared" ref="J198" si="67">+J66+J130-J129</f>
        <v>0</v>
      </c>
      <c r="K198" s="76"/>
      <c r="M198" s="65">
        <f t="shared" si="19"/>
        <v>0</v>
      </c>
    </row>
    <row r="199" spans="1:13" x14ac:dyDescent="0.25">
      <c r="A199" s="58">
        <v>44834</v>
      </c>
      <c r="B199" s="76"/>
      <c r="C199" s="60">
        <f t="shared" si="51"/>
        <v>0</v>
      </c>
      <c r="D199" s="60">
        <f t="shared" ref="D199:H199" si="68">+D67+D131-D130</f>
        <v>0</v>
      </c>
      <c r="E199" s="60">
        <f t="shared" si="68"/>
        <v>0</v>
      </c>
      <c r="F199" s="60">
        <f t="shared" si="68"/>
        <v>0</v>
      </c>
      <c r="G199" s="60">
        <f t="shared" si="68"/>
        <v>0</v>
      </c>
      <c r="H199" s="60">
        <f t="shared" si="68"/>
        <v>0</v>
      </c>
      <c r="I199" s="76"/>
      <c r="J199" s="60">
        <f t="shared" ref="J199" si="69">+J67+J131-J130</f>
        <v>0</v>
      </c>
      <c r="K199" s="76"/>
      <c r="M199" s="65">
        <f t="shared" si="19"/>
        <v>0</v>
      </c>
    </row>
    <row r="200" spans="1:13" x14ac:dyDescent="0.25">
      <c r="A200" s="58">
        <v>44865</v>
      </c>
      <c r="B200" s="76"/>
      <c r="C200" s="60">
        <f t="shared" si="51"/>
        <v>0</v>
      </c>
      <c r="D200" s="60">
        <f t="shared" ref="D200:H200" si="70">+D68+D132-D131</f>
        <v>0</v>
      </c>
      <c r="E200" s="60">
        <f t="shared" si="70"/>
        <v>0</v>
      </c>
      <c r="F200" s="60">
        <f t="shared" si="70"/>
        <v>0</v>
      </c>
      <c r="G200" s="60">
        <f t="shared" si="70"/>
        <v>0</v>
      </c>
      <c r="H200" s="60">
        <f t="shared" si="70"/>
        <v>0</v>
      </c>
      <c r="I200" s="76"/>
      <c r="J200" s="60">
        <f t="shared" ref="J200" si="71">+J68+J132-J131</f>
        <v>0</v>
      </c>
      <c r="K200" s="76"/>
      <c r="M200" s="65">
        <f t="shared" si="19"/>
        <v>0</v>
      </c>
    </row>
    <row r="202" spans="1:13" x14ac:dyDescent="0.25">
      <c r="B202" s="617" t="s">
        <v>117</v>
      </c>
      <c r="C202" s="617"/>
      <c r="D202" s="617"/>
      <c r="E202" s="617"/>
      <c r="F202" s="617"/>
      <c r="G202" s="617"/>
      <c r="H202" s="617"/>
      <c r="I202" s="617"/>
      <c r="J202" s="617"/>
      <c r="K202" s="617"/>
    </row>
    <row r="203" spans="1:13" x14ac:dyDescent="0.25">
      <c r="B203" s="59">
        <v>502</v>
      </c>
      <c r="C203" s="59">
        <v>503</v>
      </c>
      <c r="D203" s="59" t="s">
        <v>105</v>
      </c>
      <c r="E203" s="59">
        <v>504</v>
      </c>
      <c r="F203" s="59" t="s">
        <v>106</v>
      </c>
      <c r="G203" s="59">
        <v>505</v>
      </c>
      <c r="H203" s="59" t="s">
        <v>151</v>
      </c>
      <c r="I203" s="59">
        <v>512</v>
      </c>
      <c r="J203" s="59">
        <v>570</v>
      </c>
      <c r="K203" s="59">
        <v>577</v>
      </c>
    </row>
    <row r="204" spans="1:13" hidden="1" x14ac:dyDescent="0.25">
      <c r="A204" s="58">
        <v>43069</v>
      </c>
      <c r="B204" s="68">
        <v>1.6100000000000001E-3</v>
      </c>
      <c r="C204" s="68">
        <v>1.41E-3</v>
      </c>
      <c r="D204" s="68">
        <v>-1.2600000000000001E-3</v>
      </c>
      <c r="E204" s="68">
        <v>-1.2600000000000001E-3</v>
      </c>
      <c r="F204" s="68">
        <v>-8.0499999999999999E-3</v>
      </c>
      <c r="G204" s="68">
        <v>-8.0499999999999999E-3</v>
      </c>
      <c r="H204" s="68">
        <v>1.8110000000000001E-2</v>
      </c>
      <c r="I204" s="68">
        <v>-4.0000000000000002E-4</v>
      </c>
      <c r="J204" s="68">
        <v>3.7200000000000002E-3</v>
      </c>
      <c r="K204" s="68">
        <v>1.0399999999999999E-3</v>
      </c>
    </row>
    <row r="205" spans="1:13" hidden="1" x14ac:dyDescent="0.25">
      <c r="A205" s="58">
        <v>43100</v>
      </c>
      <c r="B205" s="68">
        <v>1.6100000000000001E-3</v>
      </c>
      <c r="C205" s="68">
        <v>1.41E-3</v>
      </c>
      <c r="D205" s="68">
        <v>-1.2600000000000001E-3</v>
      </c>
      <c r="E205" s="68">
        <v>-1.2600000000000001E-3</v>
      </c>
      <c r="F205" s="68">
        <v>-8.0499999999999999E-3</v>
      </c>
      <c r="G205" s="68">
        <v>-8.0499999999999999E-3</v>
      </c>
      <c r="H205" s="68">
        <v>1.8110000000000001E-2</v>
      </c>
      <c r="I205" s="68">
        <v>-4.0000000000000002E-4</v>
      </c>
      <c r="J205" s="68">
        <v>3.7200000000000002E-3</v>
      </c>
      <c r="K205" s="68">
        <v>1.0399999999999999E-3</v>
      </c>
    </row>
    <row r="206" spans="1:13" hidden="1" x14ac:dyDescent="0.25">
      <c r="A206" s="58">
        <v>43131</v>
      </c>
      <c r="B206" s="68">
        <v>1.6100000000000001E-3</v>
      </c>
      <c r="C206" s="68">
        <v>1.41E-3</v>
      </c>
      <c r="D206" s="68">
        <v>-1.2600000000000001E-3</v>
      </c>
      <c r="E206" s="68">
        <v>-1.2600000000000001E-3</v>
      </c>
      <c r="F206" s="68">
        <v>-8.0499999999999999E-3</v>
      </c>
      <c r="G206" s="68">
        <v>-8.0499999999999999E-3</v>
      </c>
      <c r="H206" s="68">
        <v>1.8110000000000001E-2</v>
      </c>
      <c r="I206" s="68">
        <v>-4.0000000000000002E-4</v>
      </c>
      <c r="J206" s="68">
        <v>3.7200000000000002E-3</v>
      </c>
      <c r="K206" s="68">
        <v>1.0399999999999999E-3</v>
      </c>
    </row>
    <row r="207" spans="1:13" hidden="1" x14ac:dyDescent="0.25">
      <c r="A207" s="58">
        <v>43159</v>
      </c>
      <c r="B207" s="68">
        <v>1.6100000000000001E-3</v>
      </c>
      <c r="C207" s="68">
        <v>1.41E-3</v>
      </c>
      <c r="D207" s="68">
        <v>-1.2600000000000001E-3</v>
      </c>
      <c r="E207" s="68">
        <v>-1.2600000000000001E-3</v>
      </c>
      <c r="F207" s="68">
        <v>-8.0499999999999999E-3</v>
      </c>
      <c r="G207" s="68">
        <v>-8.0499999999999999E-3</v>
      </c>
      <c r="H207" s="68">
        <v>1.8110000000000001E-2</v>
      </c>
      <c r="I207" s="68">
        <v>-4.0000000000000002E-4</v>
      </c>
      <c r="J207" s="68">
        <v>3.7200000000000002E-3</v>
      </c>
      <c r="K207" s="68">
        <v>1.0399999999999999E-3</v>
      </c>
    </row>
    <row r="208" spans="1:13" hidden="1" x14ac:dyDescent="0.25">
      <c r="A208" s="58">
        <v>43190</v>
      </c>
      <c r="B208" s="68">
        <v>1.6100000000000001E-3</v>
      </c>
      <c r="C208" s="68">
        <v>1.41E-3</v>
      </c>
      <c r="D208" s="68">
        <v>-1.2600000000000001E-3</v>
      </c>
      <c r="E208" s="68">
        <v>-1.2600000000000001E-3</v>
      </c>
      <c r="F208" s="68">
        <v>-8.0499999999999999E-3</v>
      </c>
      <c r="G208" s="68">
        <v>-8.0499999999999999E-3</v>
      </c>
      <c r="H208" s="68">
        <v>1.8110000000000001E-2</v>
      </c>
      <c r="I208" s="68">
        <v>-4.0000000000000002E-4</v>
      </c>
      <c r="J208" s="68">
        <v>3.7200000000000002E-3</v>
      </c>
      <c r="K208" s="68">
        <v>1.0399999999999999E-3</v>
      </c>
    </row>
    <row r="209" spans="1:11" hidden="1" x14ac:dyDescent="0.25">
      <c r="A209" s="58">
        <v>43220</v>
      </c>
      <c r="B209" s="68">
        <v>1.6100000000000001E-3</v>
      </c>
      <c r="C209" s="68">
        <v>1.41E-3</v>
      </c>
      <c r="D209" s="68">
        <v>-1.2600000000000001E-3</v>
      </c>
      <c r="E209" s="68">
        <v>-1.2600000000000001E-3</v>
      </c>
      <c r="F209" s="68">
        <v>-8.0499999999999999E-3</v>
      </c>
      <c r="G209" s="68">
        <v>-8.0499999999999999E-3</v>
      </c>
      <c r="H209" s="68">
        <v>1.8110000000000001E-2</v>
      </c>
      <c r="I209" s="68">
        <v>-4.0000000000000002E-4</v>
      </c>
      <c r="J209" s="68">
        <v>3.7200000000000002E-3</v>
      </c>
      <c r="K209" s="68">
        <v>1.0399999999999999E-3</v>
      </c>
    </row>
    <row r="210" spans="1:11" hidden="1" x14ac:dyDescent="0.25">
      <c r="A210" s="58">
        <v>43251</v>
      </c>
      <c r="B210" s="68">
        <v>1.6100000000000001E-3</v>
      </c>
      <c r="C210" s="68">
        <v>1.41E-3</v>
      </c>
      <c r="D210" s="68">
        <v>-1.2600000000000001E-3</v>
      </c>
      <c r="E210" s="68">
        <v>-1.2600000000000001E-3</v>
      </c>
      <c r="F210" s="68">
        <v>-8.0499999999999999E-3</v>
      </c>
      <c r="G210" s="68">
        <v>-8.0499999999999999E-3</v>
      </c>
      <c r="H210" s="68">
        <v>1.8110000000000001E-2</v>
      </c>
      <c r="I210" s="68">
        <v>-4.0000000000000002E-4</v>
      </c>
      <c r="J210" s="68">
        <v>3.7200000000000002E-3</v>
      </c>
      <c r="K210" s="68">
        <v>1.0399999999999999E-3</v>
      </c>
    </row>
    <row r="211" spans="1:11" hidden="1" x14ac:dyDescent="0.25">
      <c r="A211" s="58">
        <v>43281</v>
      </c>
      <c r="B211" s="68">
        <v>1.6100000000000001E-3</v>
      </c>
      <c r="C211" s="68">
        <v>1.41E-3</v>
      </c>
      <c r="D211" s="68">
        <v>-1.2600000000000001E-3</v>
      </c>
      <c r="E211" s="68">
        <v>-1.2600000000000001E-3</v>
      </c>
      <c r="F211" s="68">
        <v>-8.0499999999999999E-3</v>
      </c>
      <c r="G211" s="68">
        <v>-8.0499999999999999E-3</v>
      </c>
      <c r="H211" s="68">
        <v>1.8110000000000001E-2</v>
      </c>
      <c r="I211" s="68">
        <v>-4.0000000000000002E-4</v>
      </c>
      <c r="J211" s="68">
        <v>3.7200000000000002E-3</v>
      </c>
      <c r="K211" s="68">
        <v>1.0399999999999999E-3</v>
      </c>
    </row>
    <row r="212" spans="1:11" hidden="1" x14ac:dyDescent="0.25">
      <c r="A212" s="58">
        <v>43312</v>
      </c>
      <c r="B212" s="68">
        <v>1.6100000000000001E-3</v>
      </c>
      <c r="C212" s="68">
        <v>1.41E-3</v>
      </c>
      <c r="D212" s="68">
        <v>-1.2600000000000001E-3</v>
      </c>
      <c r="E212" s="68">
        <v>-1.2600000000000001E-3</v>
      </c>
      <c r="F212" s="68">
        <v>-8.0499999999999999E-3</v>
      </c>
      <c r="G212" s="68">
        <v>-8.0499999999999999E-3</v>
      </c>
      <c r="H212" s="68">
        <v>1.8110000000000001E-2</v>
      </c>
      <c r="I212" s="68">
        <v>-4.0000000000000002E-4</v>
      </c>
      <c r="J212" s="68">
        <v>3.7200000000000002E-3</v>
      </c>
      <c r="K212" s="68">
        <v>1.0399999999999999E-3</v>
      </c>
    </row>
    <row r="213" spans="1:11" hidden="1" x14ac:dyDescent="0.25">
      <c r="A213" s="58">
        <v>43343</v>
      </c>
      <c r="B213" s="76"/>
      <c r="C213" s="68">
        <v>1.41E-3</v>
      </c>
      <c r="D213" s="68">
        <v>-1.2600000000000001E-3</v>
      </c>
      <c r="E213" s="68">
        <v>-1.2600000000000001E-3</v>
      </c>
      <c r="F213" s="68">
        <v>-8.0499999999999999E-3</v>
      </c>
      <c r="G213" s="68">
        <v>-8.0499999999999999E-3</v>
      </c>
      <c r="H213" s="68">
        <v>1.8110000000000001E-2</v>
      </c>
      <c r="I213" s="76"/>
      <c r="J213" s="68">
        <v>3.7200000000000002E-3</v>
      </c>
      <c r="K213" s="76"/>
    </row>
    <row r="214" spans="1:11" hidden="1" x14ac:dyDescent="0.25">
      <c r="A214" s="58">
        <v>43373</v>
      </c>
      <c r="B214" s="76"/>
      <c r="C214" s="68">
        <v>1.41E-3</v>
      </c>
      <c r="D214" s="68">
        <v>-1.2600000000000001E-3</v>
      </c>
      <c r="E214" s="68">
        <v>-1.2600000000000001E-3</v>
      </c>
      <c r="F214" s="68">
        <v>-8.0499999999999999E-3</v>
      </c>
      <c r="G214" s="68">
        <v>-8.0499999999999999E-3</v>
      </c>
      <c r="H214" s="68">
        <v>1.8110000000000001E-2</v>
      </c>
      <c r="I214" s="76"/>
      <c r="J214" s="68">
        <v>3.7200000000000002E-3</v>
      </c>
      <c r="K214" s="76"/>
    </row>
    <row r="215" spans="1:11" hidden="1" x14ac:dyDescent="0.25">
      <c r="A215" s="58">
        <v>43404</v>
      </c>
      <c r="B215" s="76"/>
      <c r="C215" s="68">
        <v>1.41E-3</v>
      </c>
      <c r="D215" s="68">
        <v>-1.2600000000000001E-3</v>
      </c>
      <c r="E215" s="68">
        <v>-1.2600000000000001E-3</v>
      </c>
      <c r="F215" s="68">
        <v>-8.0499999999999999E-3</v>
      </c>
      <c r="G215" s="68">
        <v>-8.0499999999999999E-3</v>
      </c>
      <c r="H215" s="68">
        <v>1.8110000000000001E-2</v>
      </c>
      <c r="I215" s="76"/>
      <c r="J215" s="68">
        <v>3.7200000000000002E-3</v>
      </c>
      <c r="K215" s="76"/>
    </row>
    <row r="216" spans="1:11" hidden="1" x14ac:dyDescent="0.25">
      <c r="A216" s="58">
        <v>43434</v>
      </c>
      <c r="B216" s="76"/>
      <c r="C216" s="68">
        <v>2.5850000000000001E-2</v>
      </c>
      <c r="D216" s="68">
        <v>3.0450000000000001E-2</v>
      </c>
      <c r="E216" s="68">
        <v>3.0450000000000001E-2</v>
      </c>
      <c r="F216" s="68">
        <v>-3.2100000000000002E-3</v>
      </c>
      <c r="G216" s="68">
        <v>-3.2100000000000002E-3</v>
      </c>
      <c r="H216" s="68">
        <v>5.0680000000000003E-2</v>
      </c>
      <c r="I216" s="76"/>
      <c r="J216" s="68">
        <v>-7.5100000000000002E-3</v>
      </c>
      <c r="K216" s="76"/>
    </row>
    <row r="217" spans="1:11" hidden="1" x14ac:dyDescent="0.25">
      <c r="A217" s="58">
        <v>43465</v>
      </c>
      <c r="B217" s="76"/>
      <c r="C217" s="68">
        <v>2.5850000000000001E-2</v>
      </c>
      <c r="D217" s="68">
        <v>3.0450000000000001E-2</v>
      </c>
      <c r="E217" s="68">
        <v>3.0450000000000001E-2</v>
      </c>
      <c r="F217" s="68">
        <v>-3.2100000000000002E-3</v>
      </c>
      <c r="G217" s="68">
        <v>-3.2100000000000002E-3</v>
      </c>
      <c r="H217" s="68">
        <v>5.0680000000000003E-2</v>
      </c>
      <c r="I217" s="76"/>
      <c r="J217" s="68">
        <v>-7.5100000000000002E-3</v>
      </c>
      <c r="K217" s="76"/>
    </row>
    <row r="218" spans="1:11" hidden="1" x14ac:dyDescent="0.25">
      <c r="A218" s="58">
        <v>43496</v>
      </c>
      <c r="B218" s="76"/>
      <c r="C218" s="68">
        <v>2.5850000000000001E-2</v>
      </c>
      <c r="D218" s="68">
        <v>3.0450000000000001E-2</v>
      </c>
      <c r="E218" s="68">
        <v>3.0450000000000001E-2</v>
      </c>
      <c r="F218" s="68">
        <v>-3.2100000000000002E-3</v>
      </c>
      <c r="G218" s="68">
        <v>-3.2100000000000002E-3</v>
      </c>
      <c r="H218" s="68">
        <v>5.0680000000000003E-2</v>
      </c>
      <c r="I218" s="76"/>
      <c r="J218" s="68">
        <v>-7.5100000000000002E-3</v>
      </c>
      <c r="K218" s="76"/>
    </row>
    <row r="219" spans="1:11" hidden="1" x14ac:dyDescent="0.25">
      <c r="A219" s="58">
        <v>43524</v>
      </c>
      <c r="B219" s="76"/>
      <c r="C219" s="68">
        <v>2.5850000000000001E-2</v>
      </c>
      <c r="D219" s="68">
        <v>3.0450000000000001E-2</v>
      </c>
      <c r="E219" s="68">
        <v>3.0450000000000001E-2</v>
      </c>
      <c r="F219" s="68">
        <v>-3.2100000000000002E-3</v>
      </c>
      <c r="G219" s="68">
        <v>-3.2100000000000002E-3</v>
      </c>
      <c r="H219" s="68">
        <v>5.0680000000000003E-2</v>
      </c>
      <c r="I219" s="76"/>
      <c r="J219" s="68">
        <v>-7.5100000000000002E-3</v>
      </c>
      <c r="K219" s="76"/>
    </row>
    <row r="220" spans="1:11" hidden="1" x14ac:dyDescent="0.25">
      <c r="A220" s="58">
        <v>43555</v>
      </c>
      <c r="B220" s="76"/>
      <c r="C220" s="68">
        <v>2.5850000000000001E-2</v>
      </c>
      <c r="D220" s="68">
        <v>3.0450000000000001E-2</v>
      </c>
      <c r="E220" s="68">
        <v>3.0450000000000001E-2</v>
      </c>
      <c r="F220" s="68">
        <v>-3.2100000000000002E-3</v>
      </c>
      <c r="G220" s="68">
        <v>-3.2100000000000002E-3</v>
      </c>
      <c r="H220" s="68">
        <v>5.0680000000000003E-2</v>
      </c>
      <c r="I220" s="76"/>
      <c r="J220" s="68">
        <v>-7.5100000000000002E-3</v>
      </c>
      <c r="K220" s="76"/>
    </row>
    <row r="221" spans="1:11" hidden="1" x14ac:dyDescent="0.25">
      <c r="A221" s="58">
        <v>43585</v>
      </c>
      <c r="B221" s="76"/>
      <c r="C221" s="68">
        <v>2.5850000000000001E-2</v>
      </c>
      <c r="D221" s="68">
        <v>3.0450000000000001E-2</v>
      </c>
      <c r="E221" s="68">
        <v>3.0450000000000001E-2</v>
      </c>
      <c r="F221" s="68">
        <v>-3.2100000000000002E-3</v>
      </c>
      <c r="G221" s="68">
        <v>-3.2100000000000002E-3</v>
      </c>
      <c r="H221" s="68">
        <v>5.0680000000000003E-2</v>
      </c>
      <c r="I221" s="76"/>
      <c r="J221" s="68">
        <v>-7.5100000000000002E-3</v>
      </c>
      <c r="K221" s="76"/>
    </row>
    <row r="222" spans="1:11" hidden="1" x14ac:dyDescent="0.25">
      <c r="A222" s="58">
        <v>43616</v>
      </c>
      <c r="B222" s="76"/>
      <c r="C222" s="68">
        <v>2.5850000000000001E-2</v>
      </c>
      <c r="D222" s="68">
        <v>3.0450000000000001E-2</v>
      </c>
      <c r="E222" s="68">
        <v>3.0450000000000001E-2</v>
      </c>
      <c r="F222" s="68">
        <v>-3.2100000000000002E-3</v>
      </c>
      <c r="G222" s="68">
        <v>-3.2100000000000002E-3</v>
      </c>
      <c r="H222" s="68">
        <v>5.0680000000000003E-2</v>
      </c>
      <c r="I222" s="76"/>
      <c r="J222" s="68">
        <v>-7.5100000000000002E-3</v>
      </c>
      <c r="K222" s="76"/>
    </row>
    <row r="223" spans="1:11" hidden="1" x14ac:dyDescent="0.25">
      <c r="A223" s="58">
        <v>43646</v>
      </c>
      <c r="B223" s="76"/>
      <c r="C223" s="68">
        <v>2.5850000000000001E-2</v>
      </c>
      <c r="D223" s="68">
        <v>3.0450000000000001E-2</v>
      </c>
      <c r="E223" s="68">
        <v>3.0450000000000001E-2</v>
      </c>
      <c r="F223" s="68">
        <v>-3.2100000000000002E-3</v>
      </c>
      <c r="G223" s="68">
        <v>-3.2100000000000002E-3</v>
      </c>
      <c r="H223" s="68">
        <v>5.0680000000000003E-2</v>
      </c>
      <c r="I223" s="76"/>
      <c r="J223" s="68">
        <v>-7.5100000000000002E-3</v>
      </c>
      <c r="K223" s="76"/>
    </row>
    <row r="224" spans="1:11" hidden="1" x14ac:dyDescent="0.25">
      <c r="A224" s="58">
        <v>43677</v>
      </c>
      <c r="B224" s="76"/>
      <c r="C224" s="68">
        <v>2.5850000000000001E-2</v>
      </c>
      <c r="D224" s="68">
        <v>3.0450000000000001E-2</v>
      </c>
      <c r="E224" s="68">
        <v>3.0450000000000001E-2</v>
      </c>
      <c r="F224" s="68">
        <v>-3.2100000000000002E-3</v>
      </c>
      <c r="G224" s="68">
        <v>-3.2100000000000002E-3</v>
      </c>
      <c r="H224" s="68">
        <v>5.0680000000000003E-2</v>
      </c>
      <c r="I224" s="76"/>
      <c r="J224" s="68">
        <v>-7.5100000000000002E-3</v>
      </c>
      <c r="K224" s="76"/>
    </row>
    <row r="225" spans="1:13" hidden="1" x14ac:dyDescent="0.25">
      <c r="A225" s="58">
        <v>43708</v>
      </c>
      <c r="B225" s="76"/>
      <c r="C225" s="68">
        <v>2.5850000000000001E-2</v>
      </c>
      <c r="D225" s="68">
        <v>3.0450000000000001E-2</v>
      </c>
      <c r="E225" s="68">
        <v>3.0450000000000001E-2</v>
      </c>
      <c r="F225" s="68">
        <v>-3.2100000000000002E-3</v>
      </c>
      <c r="G225" s="68">
        <v>-3.2100000000000002E-3</v>
      </c>
      <c r="H225" s="68">
        <v>5.0680000000000003E-2</v>
      </c>
      <c r="I225" s="76"/>
      <c r="J225" s="68">
        <v>-7.5100000000000002E-3</v>
      </c>
      <c r="K225" s="76"/>
    </row>
    <row r="226" spans="1:13" hidden="1" x14ac:dyDescent="0.25">
      <c r="A226" s="58">
        <v>43738</v>
      </c>
      <c r="B226" s="76"/>
      <c r="C226" s="68">
        <v>2.5850000000000001E-2</v>
      </c>
      <c r="D226" s="68">
        <v>3.0450000000000001E-2</v>
      </c>
      <c r="E226" s="68">
        <v>3.0450000000000001E-2</v>
      </c>
      <c r="F226" s="68">
        <v>-3.2100000000000002E-3</v>
      </c>
      <c r="G226" s="68">
        <v>-3.2100000000000002E-3</v>
      </c>
      <c r="H226" s="68">
        <v>5.0680000000000003E-2</v>
      </c>
      <c r="I226" s="76"/>
      <c r="J226" s="68">
        <v>-7.5100000000000002E-3</v>
      </c>
      <c r="K226" s="76"/>
    </row>
    <row r="227" spans="1:13" hidden="1" x14ac:dyDescent="0.25">
      <c r="A227" s="58">
        <v>43769</v>
      </c>
      <c r="B227" s="76"/>
      <c r="C227" s="68">
        <v>2.5850000000000001E-2</v>
      </c>
      <c r="D227" s="68">
        <v>3.0450000000000001E-2</v>
      </c>
      <c r="E227" s="68">
        <v>3.0450000000000001E-2</v>
      </c>
      <c r="F227" s="68">
        <v>-3.2100000000000002E-3</v>
      </c>
      <c r="G227" s="68">
        <v>-3.2100000000000002E-3</v>
      </c>
      <c r="H227" s="68">
        <v>5.0680000000000003E-2</v>
      </c>
      <c r="I227" s="76"/>
      <c r="J227" s="68">
        <v>-7.5100000000000002E-3</v>
      </c>
      <c r="K227" s="76"/>
      <c r="M227" s="57" t="s">
        <v>115</v>
      </c>
    </row>
    <row r="228" spans="1:13" hidden="1" x14ac:dyDescent="0.25">
      <c r="A228" s="58">
        <v>43799</v>
      </c>
      <c r="B228" s="76"/>
      <c r="C228" s="68">
        <v>-1.3899999999999999E-2</v>
      </c>
      <c r="D228" s="68">
        <v>-8.0999999999999996E-4</v>
      </c>
      <c r="E228" s="68">
        <v>-8.0999999999999996E-4</v>
      </c>
      <c r="F228" s="68">
        <v>5.8500000000000002E-3</v>
      </c>
      <c r="G228" s="68">
        <v>5.8500000000000002E-3</v>
      </c>
      <c r="H228" s="68">
        <v>1.9539999999999998E-2</v>
      </c>
      <c r="I228" s="76"/>
      <c r="J228" s="68">
        <v>-1.9060000000000001E-2</v>
      </c>
      <c r="K228" s="76"/>
      <c r="M228" s="57" t="s">
        <v>116</v>
      </c>
    </row>
    <row r="229" spans="1:13" hidden="1" x14ac:dyDescent="0.25">
      <c r="A229" s="58">
        <v>43830</v>
      </c>
      <c r="B229" s="76"/>
      <c r="C229" s="68">
        <v>-1.3899999999999999E-2</v>
      </c>
      <c r="D229" s="68">
        <v>-8.0999999999999996E-4</v>
      </c>
      <c r="E229" s="68">
        <v>-8.0999999999999996E-4</v>
      </c>
      <c r="F229" s="68">
        <v>5.8500000000000002E-3</v>
      </c>
      <c r="G229" s="68">
        <v>5.8500000000000002E-3</v>
      </c>
      <c r="H229" s="68">
        <v>1.9539999999999998E-2</v>
      </c>
      <c r="I229" s="76"/>
      <c r="J229" s="68">
        <v>-1.9060000000000001E-2</v>
      </c>
      <c r="K229" s="76"/>
    </row>
    <row r="230" spans="1:13" hidden="1" x14ac:dyDescent="0.25">
      <c r="A230" s="58">
        <v>43861</v>
      </c>
      <c r="B230" s="76"/>
      <c r="C230" s="68">
        <v>-1.3899999999999999E-2</v>
      </c>
      <c r="D230" s="68">
        <v>-8.0999999999999996E-4</v>
      </c>
      <c r="E230" s="68">
        <v>-8.0999999999999996E-4</v>
      </c>
      <c r="F230" s="68">
        <v>5.8500000000000002E-3</v>
      </c>
      <c r="G230" s="68">
        <v>5.8500000000000002E-3</v>
      </c>
      <c r="H230" s="68">
        <v>1.9539999999999998E-2</v>
      </c>
      <c r="I230" s="76"/>
      <c r="J230" s="68">
        <v>-1.9060000000000001E-2</v>
      </c>
      <c r="K230" s="76"/>
    </row>
    <row r="231" spans="1:13" hidden="1" x14ac:dyDescent="0.25">
      <c r="A231" s="58">
        <v>43890</v>
      </c>
      <c r="B231" s="76"/>
      <c r="C231" s="68">
        <v>-1.3899999999999999E-2</v>
      </c>
      <c r="D231" s="68">
        <v>-8.0999999999999996E-4</v>
      </c>
      <c r="E231" s="68">
        <v>-8.0999999999999996E-4</v>
      </c>
      <c r="F231" s="68">
        <v>5.8500000000000002E-3</v>
      </c>
      <c r="G231" s="68">
        <v>5.8500000000000002E-3</v>
      </c>
      <c r="H231" s="68">
        <v>1.9539999999999998E-2</v>
      </c>
      <c r="I231" s="76"/>
      <c r="J231" s="68">
        <v>-1.9060000000000001E-2</v>
      </c>
      <c r="K231" s="76"/>
    </row>
    <row r="232" spans="1:13" hidden="1" x14ac:dyDescent="0.25">
      <c r="A232" s="58">
        <v>43921</v>
      </c>
      <c r="B232" s="76"/>
      <c r="C232" s="68">
        <v>-1.3899999999999999E-2</v>
      </c>
      <c r="D232" s="68">
        <v>-8.0999999999999996E-4</v>
      </c>
      <c r="E232" s="68">
        <v>-8.0999999999999996E-4</v>
      </c>
      <c r="F232" s="68">
        <v>5.8500000000000002E-3</v>
      </c>
      <c r="G232" s="68">
        <v>5.8500000000000002E-3</v>
      </c>
      <c r="H232" s="68">
        <v>1.9539999999999998E-2</v>
      </c>
      <c r="I232" s="76"/>
      <c r="J232" s="68">
        <v>-1.9060000000000001E-2</v>
      </c>
      <c r="K232" s="76"/>
    </row>
    <row r="233" spans="1:13" hidden="1" x14ac:dyDescent="0.25">
      <c r="A233" s="58">
        <v>43951</v>
      </c>
      <c r="B233" s="76"/>
      <c r="C233" s="68">
        <v>-1.3899999999999999E-2</v>
      </c>
      <c r="D233" s="68">
        <v>-8.0999999999999996E-4</v>
      </c>
      <c r="E233" s="68">
        <v>-8.0999999999999996E-4</v>
      </c>
      <c r="F233" s="68">
        <v>5.8500000000000002E-3</v>
      </c>
      <c r="G233" s="68">
        <v>5.8500000000000002E-3</v>
      </c>
      <c r="H233" s="68">
        <v>1.9539999999999998E-2</v>
      </c>
      <c r="I233" s="76"/>
      <c r="J233" s="68">
        <v>-1.9060000000000001E-2</v>
      </c>
      <c r="K233" s="76"/>
    </row>
    <row r="234" spans="1:13" hidden="1" x14ac:dyDescent="0.25">
      <c r="A234" s="58">
        <v>43982</v>
      </c>
      <c r="B234" s="76"/>
      <c r="C234" s="68">
        <v>-1.3899999999999999E-2</v>
      </c>
      <c r="D234" s="68">
        <v>-8.0999999999999996E-4</v>
      </c>
      <c r="E234" s="68">
        <v>-8.0999999999999996E-4</v>
      </c>
      <c r="F234" s="68">
        <v>5.8500000000000002E-3</v>
      </c>
      <c r="G234" s="68">
        <v>5.8500000000000002E-3</v>
      </c>
      <c r="H234" s="68">
        <v>1.9539999999999998E-2</v>
      </c>
      <c r="I234" s="76"/>
      <c r="J234" s="68">
        <v>-1.9060000000000001E-2</v>
      </c>
      <c r="K234" s="76"/>
    </row>
    <row r="235" spans="1:13" hidden="1" x14ac:dyDescent="0.25">
      <c r="A235" s="58">
        <v>44012</v>
      </c>
      <c r="B235" s="76"/>
      <c r="C235" s="68">
        <v>-1.3899999999999999E-2</v>
      </c>
      <c r="D235" s="68">
        <v>-8.0999999999999996E-4</v>
      </c>
      <c r="E235" s="68">
        <v>-8.0999999999999996E-4</v>
      </c>
      <c r="F235" s="68">
        <v>5.8500000000000002E-3</v>
      </c>
      <c r="G235" s="68">
        <v>5.8500000000000002E-3</v>
      </c>
      <c r="H235" s="68">
        <v>1.9539999999999998E-2</v>
      </c>
      <c r="I235" s="76"/>
      <c r="J235" s="68">
        <v>-1.9060000000000001E-2</v>
      </c>
      <c r="K235" s="76"/>
    </row>
    <row r="236" spans="1:13" hidden="1" x14ac:dyDescent="0.25">
      <c r="A236" s="58">
        <v>44043</v>
      </c>
      <c r="B236" s="76"/>
      <c r="C236" s="68">
        <v>-1.3899999999999999E-2</v>
      </c>
      <c r="D236" s="68">
        <v>-8.0999999999999996E-4</v>
      </c>
      <c r="E236" s="68">
        <v>-8.0999999999999996E-4</v>
      </c>
      <c r="F236" s="68">
        <v>5.8500000000000002E-3</v>
      </c>
      <c r="G236" s="68">
        <v>5.8500000000000002E-3</v>
      </c>
      <c r="H236" s="68">
        <v>1.9539999999999998E-2</v>
      </c>
      <c r="I236" s="76"/>
      <c r="J236" s="68">
        <v>-1.9060000000000001E-2</v>
      </c>
      <c r="K236" s="76"/>
    </row>
    <row r="237" spans="1:13" hidden="1" x14ac:dyDescent="0.25">
      <c r="A237" s="58">
        <v>44074</v>
      </c>
      <c r="B237" s="76"/>
      <c r="C237" s="68">
        <v>-1.3899999999999999E-2</v>
      </c>
      <c r="D237" s="68">
        <v>-8.0999999999999996E-4</v>
      </c>
      <c r="E237" s="68">
        <v>-8.0999999999999996E-4</v>
      </c>
      <c r="F237" s="68">
        <v>5.8500000000000002E-3</v>
      </c>
      <c r="G237" s="68">
        <v>5.8500000000000002E-3</v>
      </c>
      <c r="H237" s="68">
        <v>1.9539999999999998E-2</v>
      </c>
      <c r="I237" s="76"/>
      <c r="J237" s="68">
        <v>-1.9060000000000001E-2</v>
      </c>
      <c r="K237" s="76"/>
    </row>
    <row r="238" spans="1:13" hidden="1" x14ac:dyDescent="0.25">
      <c r="A238" s="58">
        <v>44104</v>
      </c>
      <c r="B238" s="76"/>
      <c r="C238" s="68">
        <v>-1.3899999999999999E-2</v>
      </c>
      <c r="D238" s="68">
        <v>-8.0999999999999996E-4</v>
      </c>
      <c r="E238" s="68">
        <v>-8.0999999999999996E-4</v>
      </c>
      <c r="F238" s="68">
        <v>5.8500000000000002E-3</v>
      </c>
      <c r="G238" s="68">
        <v>5.8500000000000002E-3</v>
      </c>
      <c r="H238" s="68">
        <v>1.9539999999999998E-2</v>
      </c>
      <c r="I238" s="76"/>
      <c r="J238" s="68">
        <v>-1.9060000000000001E-2</v>
      </c>
      <c r="K238" s="76"/>
    </row>
    <row r="239" spans="1:13" hidden="1" x14ac:dyDescent="0.25">
      <c r="A239" s="58">
        <v>44135</v>
      </c>
      <c r="B239" s="76"/>
      <c r="C239" s="68">
        <v>-1.3899999999999999E-2</v>
      </c>
      <c r="D239" s="68">
        <v>-8.0999999999999996E-4</v>
      </c>
      <c r="E239" s="68">
        <v>-8.0999999999999996E-4</v>
      </c>
      <c r="F239" s="68">
        <v>5.8500000000000002E-3</v>
      </c>
      <c r="G239" s="68">
        <v>5.8500000000000002E-3</v>
      </c>
      <c r="H239" s="68">
        <v>1.9539999999999998E-2</v>
      </c>
      <c r="I239" s="76"/>
      <c r="J239" s="68">
        <v>-1.9060000000000001E-2</v>
      </c>
      <c r="K239" s="76"/>
      <c r="M239" s="57" t="s">
        <v>115</v>
      </c>
    </row>
    <row r="240" spans="1:13" hidden="1" x14ac:dyDescent="0.25">
      <c r="A240" s="58">
        <v>44165</v>
      </c>
      <c r="B240" s="76"/>
      <c r="C240" s="165">
        <v>9.1000000000000004E-3</v>
      </c>
      <c r="D240" s="165">
        <v>2.4140000000000002E-2</v>
      </c>
      <c r="E240" s="165">
        <v>2.4140000000000002E-2</v>
      </c>
      <c r="F240" s="165">
        <v>1.417E-2</v>
      </c>
      <c r="G240" s="165">
        <v>1.417E-2</v>
      </c>
      <c r="H240" s="165">
        <v>1.908E-2</v>
      </c>
      <c r="I240" s="76"/>
      <c r="J240" s="165">
        <v>-1.1990000000000001E-2</v>
      </c>
      <c r="K240" s="76"/>
      <c r="M240" s="57" t="s">
        <v>116</v>
      </c>
    </row>
    <row r="241" spans="1:13" hidden="1" x14ac:dyDescent="0.25">
      <c r="A241" s="58">
        <v>44196</v>
      </c>
      <c r="B241" s="76"/>
      <c r="C241" s="165">
        <v>9.1000000000000004E-3</v>
      </c>
      <c r="D241" s="165">
        <v>2.4140000000000002E-2</v>
      </c>
      <c r="E241" s="165">
        <v>2.4140000000000002E-2</v>
      </c>
      <c r="F241" s="165">
        <v>1.417E-2</v>
      </c>
      <c r="G241" s="165">
        <v>1.417E-2</v>
      </c>
      <c r="H241" s="165">
        <v>1.908E-2</v>
      </c>
      <c r="I241" s="76"/>
      <c r="J241" s="165">
        <v>-1.1990000000000001E-2</v>
      </c>
      <c r="K241" s="76"/>
    </row>
    <row r="242" spans="1:13" hidden="1" x14ac:dyDescent="0.25">
      <c r="A242" s="58">
        <v>44227</v>
      </c>
      <c r="B242" s="76"/>
      <c r="C242" s="165">
        <v>9.1000000000000004E-3</v>
      </c>
      <c r="D242" s="165">
        <v>2.4140000000000002E-2</v>
      </c>
      <c r="E242" s="165">
        <v>2.4140000000000002E-2</v>
      </c>
      <c r="F242" s="165">
        <v>1.417E-2</v>
      </c>
      <c r="G242" s="165">
        <v>1.417E-2</v>
      </c>
      <c r="H242" s="165">
        <v>1.908E-2</v>
      </c>
      <c r="I242" s="76"/>
      <c r="J242" s="165">
        <v>-1.1990000000000001E-2</v>
      </c>
      <c r="K242" s="76"/>
    </row>
    <row r="243" spans="1:13" hidden="1" x14ac:dyDescent="0.25">
      <c r="A243" s="58">
        <v>44255</v>
      </c>
      <c r="B243" s="76"/>
      <c r="C243" s="165">
        <v>9.1000000000000004E-3</v>
      </c>
      <c r="D243" s="165">
        <v>2.4140000000000002E-2</v>
      </c>
      <c r="E243" s="165">
        <v>2.4140000000000002E-2</v>
      </c>
      <c r="F243" s="165">
        <v>1.417E-2</v>
      </c>
      <c r="G243" s="165">
        <v>1.417E-2</v>
      </c>
      <c r="H243" s="165">
        <v>1.908E-2</v>
      </c>
      <c r="I243" s="76"/>
      <c r="J243" s="165">
        <v>-1.1990000000000001E-2</v>
      </c>
      <c r="K243" s="76"/>
    </row>
    <row r="244" spans="1:13" hidden="1" x14ac:dyDescent="0.25">
      <c r="A244" s="58">
        <v>44286</v>
      </c>
      <c r="B244" s="76"/>
      <c r="C244" s="165">
        <v>9.1000000000000004E-3</v>
      </c>
      <c r="D244" s="165">
        <v>2.4140000000000002E-2</v>
      </c>
      <c r="E244" s="165">
        <v>2.4140000000000002E-2</v>
      </c>
      <c r="F244" s="165">
        <v>1.417E-2</v>
      </c>
      <c r="G244" s="165">
        <v>1.417E-2</v>
      </c>
      <c r="H244" s="165">
        <v>1.908E-2</v>
      </c>
      <c r="I244" s="76"/>
      <c r="J244" s="165">
        <v>-1.1990000000000001E-2</v>
      </c>
      <c r="K244" s="76"/>
    </row>
    <row r="245" spans="1:13" hidden="1" x14ac:dyDescent="0.25">
      <c r="A245" s="58">
        <v>44316</v>
      </c>
      <c r="B245" s="76"/>
      <c r="C245" s="165">
        <v>9.1000000000000004E-3</v>
      </c>
      <c r="D245" s="165">
        <v>2.4140000000000002E-2</v>
      </c>
      <c r="E245" s="165">
        <v>2.4140000000000002E-2</v>
      </c>
      <c r="F245" s="165">
        <v>1.417E-2</v>
      </c>
      <c r="G245" s="165">
        <v>1.417E-2</v>
      </c>
      <c r="H245" s="165">
        <v>1.908E-2</v>
      </c>
      <c r="I245" s="76"/>
      <c r="J245" s="165">
        <v>-1.1990000000000001E-2</v>
      </c>
      <c r="K245" s="76"/>
    </row>
    <row r="246" spans="1:13" hidden="1" x14ac:dyDescent="0.25">
      <c r="A246" s="58">
        <v>44347</v>
      </c>
      <c r="B246" s="76"/>
      <c r="C246" s="165">
        <v>9.1000000000000004E-3</v>
      </c>
      <c r="D246" s="165">
        <v>2.4140000000000002E-2</v>
      </c>
      <c r="E246" s="165">
        <v>2.4140000000000002E-2</v>
      </c>
      <c r="F246" s="165">
        <v>1.417E-2</v>
      </c>
      <c r="G246" s="165">
        <v>1.417E-2</v>
      </c>
      <c r="H246" s="165">
        <v>1.908E-2</v>
      </c>
      <c r="I246" s="76"/>
      <c r="J246" s="165">
        <v>-1.1990000000000001E-2</v>
      </c>
      <c r="K246" s="76"/>
    </row>
    <row r="247" spans="1:13" hidden="1" x14ac:dyDescent="0.25">
      <c r="A247" s="58">
        <v>44377</v>
      </c>
      <c r="B247" s="76"/>
      <c r="C247" s="165">
        <v>9.1000000000000004E-3</v>
      </c>
      <c r="D247" s="165">
        <v>2.4140000000000002E-2</v>
      </c>
      <c r="E247" s="165">
        <v>2.4140000000000002E-2</v>
      </c>
      <c r="F247" s="165">
        <v>1.417E-2</v>
      </c>
      <c r="G247" s="165">
        <v>1.417E-2</v>
      </c>
      <c r="H247" s="165">
        <v>1.908E-2</v>
      </c>
      <c r="I247" s="76"/>
      <c r="J247" s="165">
        <v>-1.1990000000000001E-2</v>
      </c>
      <c r="K247" s="76"/>
    </row>
    <row r="248" spans="1:13" hidden="1" x14ac:dyDescent="0.25">
      <c r="A248" s="58">
        <v>44408</v>
      </c>
      <c r="B248" s="76"/>
      <c r="C248" s="165">
        <v>9.1000000000000004E-3</v>
      </c>
      <c r="D248" s="165">
        <v>2.4140000000000002E-2</v>
      </c>
      <c r="E248" s="165">
        <v>2.4140000000000002E-2</v>
      </c>
      <c r="F248" s="165">
        <v>1.417E-2</v>
      </c>
      <c r="G248" s="165">
        <v>1.417E-2</v>
      </c>
      <c r="H248" s="165">
        <v>1.908E-2</v>
      </c>
      <c r="I248" s="76"/>
      <c r="J248" s="165">
        <v>-1.1990000000000001E-2</v>
      </c>
      <c r="K248" s="76"/>
    </row>
    <row r="249" spans="1:13" hidden="1" x14ac:dyDescent="0.25">
      <c r="A249" s="58">
        <v>44439</v>
      </c>
      <c r="B249" s="76"/>
      <c r="C249" s="165">
        <v>9.1000000000000004E-3</v>
      </c>
      <c r="D249" s="165">
        <v>2.4140000000000002E-2</v>
      </c>
      <c r="E249" s="165">
        <v>2.4140000000000002E-2</v>
      </c>
      <c r="F249" s="165">
        <v>1.417E-2</v>
      </c>
      <c r="G249" s="165">
        <v>1.417E-2</v>
      </c>
      <c r="H249" s="165">
        <v>1.908E-2</v>
      </c>
      <c r="I249" s="76"/>
      <c r="J249" s="165">
        <v>-1.1990000000000001E-2</v>
      </c>
      <c r="K249" s="76"/>
    </row>
    <row r="250" spans="1:13" hidden="1" x14ac:dyDescent="0.25">
      <c r="A250" s="58">
        <v>44469</v>
      </c>
      <c r="B250" s="76"/>
      <c r="C250" s="165">
        <v>9.1000000000000004E-3</v>
      </c>
      <c r="D250" s="165">
        <v>2.4140000000000002E-2</v>
      </c>
      <c r="E250" s="165">
        <v>2.4140000000000002E-2</v>
      </c>
      <c r="F250" s="165">
        <v>1.417E-2</v>
      </c>
      <c r="G250" s="165">
        <v>1.417E-2</v>
      </c>
      <c r="H250" s="165">
        <v>1.908E-2</v>
      </c>
      <c r="I250" s="76"/>
      <c r="J250" s="165">
        <v>-1.1990000000000001E-2</v>
      </c>
      <c r="K250" s="76"/>
    </row>
    <row r="251" spans="1:13" hidden="1" x14ac:dyDescent="0.25">
      <c r="A251" s="58">
        <v>44500</v>
      </c>
      <c r="B251" s="76"/>
      <c r="C251" s="165">
        <v>9.1000000000000004E-3</v>
      </c>
      <c r="D251" s="165">
        <v>2.4140000000000002E-2</v>
      </c>
      <c r="E251" s="165">
        <v>2.4140000000000002E-2</v>
      </c>
      <c r="F251" s="165">
        <v>1.417E-2</v>
      </c>
      <c r="G251" s="165">
        <v>1.417E-2</v>
      </c>
      <c r="H251" s="165">
        <v>1.908E-2</v>
      </c>
      <c r="I251" s="76"/>
      <c r="J251" s="165">
        <v>-1.1990000000000001E-2</v>
      </c>
      <c r="K251" s="76"/>
    </row>
    <row r="252" spans="1:13" x14ac:dyDescent="0.25">
      <c r="A252" s="58">
        <v>44530</v>
      </c>
      <c r="B252" s="76"/>
      <c r="C252" s="165">
        <v>-1.0749999999999999E-2</v>
      </c>
      <c r="D252" s="165">
        <v>-3.1900000000000001E-3</v>
      </c>
      <c r="E252" s="165">
        <v>-3.1900000000000001E-3</v>
      </c>
      <c r="F252" s="165">
        <v>-7.2700000000000004E-3</v>
      </c>
      <c r="G252" s="165">
        <v>-7.2700000000000004E-3</v>
      </c>
      <c r="H252" s="165">
        <v>5.3830000000000003E-2</v>
      </c>
      <c r="I252" s="76"/>
      <c r="J252" s="165">
        <v>-2.82E-3</v>
      </c>
      <c r="K252" s="76"/>
      <c r="M252" s="57" t="s">
        <v>116</v>
      </c>
    </row>
    <row r="253" spans="1:13" x14ac:dyDescent="0.25">
      <c r="A253" s="58">
        <v>44561</v>
      </c>
      <c r="B253" s="76"/>
      <c r="C253" s="165">
        <v>-1.0749999999999999E-2</v>
      </c>
      <c r="D253" s="165">
        <v>-3.1900000000000001E-3</v>
      </c>
      <c r="E253" s="165">
        <v>-3.1900000000000001E-3</v>
      </c>
      <c r="F253" s="165">
        <v>-7.2700000000000004E-3</v>
      </c>
      <c r="G253" s="165">
        <v>-7.2700000000000004E-3</v>
      </c>
      <c r="H253" s="165">
        <v>5.3830000000000003E-2</v>
      </c>
      <c r="I253" s="76"/>
      <c r="J253" s="165">
        <v>-2.82E-3</v>
      </c>
      <c r="K253" s="76"/>
    </row>
    <row r="254" spans="1:13" x14ac:dyDescent="0.25">
      <c r="A254" s="58">
        <v>44592</v>
      </c>
      <c r="B254" s="76"/>
      <c r="C254" s="165">
        <v>-1.0749999999999999E-2</v>
      </c>
      <c r="D254" s="165">
        <v>-3.1900000000000001E-3</v>
      </c>
      <c r="E254" s="165">
        <v>-3.1900000000000001E-3</v>
      </c>
      <c r="F254" s="165">
        <v>-7.2700000000000004E-3</v>
      </c>
      <c r="G254" s="165">
        <v>-7.2700000000000004E-3</v>
      </c>
      <c r="H254" s="165">
        <v>5.3830000000000003E-2</v>
      </c>
      <c r="I254" s="76"/>
      <c r="J254" s="165">
        <v>-2.82E-3</v>
      </c>
      <c r="K254" s="76"/>
    </row>
    <row r="255" spans="1:13" x14ac:dyDescent="0.25">
      <c r="A255" s="58">
        <v>44620</v>
      </c>
      <c r="B255" s="76"/>
      <c r="C255" s="165">
        <v>-1.0749999999999999E-2</v>
      </c>
      <c r="D255" s="165">
        <v>-3.1900000000000001E-3</v>
      </c>
      <c r="E255" s="165">
        <v>-3.1900000000000001E-3</v>
      </c>
      <c r="F255" s="165">
        <v>-7.2700000000000004E-3</v>
      </c>
      <c r="G255" s="165">
        <v>-7.2700000000000004E-3</v>
      </c>
      <c r="H255" s="165">
        <v>5.3830000000000003E-2</v>
      </c>
      <c r="I255" s="76"/>
      <c r="J255" s="165">
        <v>-2.82E-3</v>
      </c>
      <c r="K255" s="76"/>
    </row>
    <row r="256" spans="1:13" x14ac:dyDescent="0.25">
      <c r="A256" s="58">
        <v>44651</v>
      </c>
      <c r="B256" s="76"/>
      <c r="C256" s="165">
        <v>-1.0749999999999999E-2</v>
      </c>
      <c r="D256" s="165">
        <v>-3.1900000000000001E-3</v>
      </c>
      <c r="E256" s="165">
        <v>-3.1900000000000001E-3</v>
      </c>
      <c r="F256" s="165">
        <v>-7.2700000000000004E-3</v>
      </c>
      <c r="G256" s="165">
        <v>-7.2700000000000004E-3</v>
      </c>
      <c r="H256" s="165">
        <v>5.3830000000000003E-2</v>
      </c>
      <c r="I256" s="76"/>
      <c r="J256" s="165">
        <v>-2.82E-3</v>
      </c>
      <c r="K256" s="76"/>
    </row>
    <row r="257" spans="1:13" x14ac:dyDescent="0.25">
      <c r="A257" s="58">
        <v>44681</v>
      </c>
      <c r="B257" s="76"/>
      <c r="C257" s="165">
        <v>-1.0749999999999999E-2</v>
      </c>
      <c r="D257" s="165">
        <v>-3.1900000000000001E-3</v>
      </c>
      <c r="E257" s="165">
        <v>-3.1900000000000001E-3</v>
      </c>
      <c r="F257" s="165">
        <v>-7.2700000000000004E-3</v>
      </c>
      <c r="G257" s="165">
        <v>-7.2700000000000004E-3</v>
      </c>
      <c r="H257" s="165">
        <v>5.3830000000000003E-2</v>
      </c>
      <c r="I257" s="76"/>
      <c r="J257" s="165">
        <v>-2.82E-3</v>
      </c>
      <c r="K257" s="76"/>
    </row>
    <row r="258" spans="1:13" x14ac:dyDescent="0.25">
      <c r="A258" s="58">
        <v>44712</v>
      </c>
      <c r="B258" s="76"/>
      <c r="C258" s="165">
        <v>-1.0749999999999999E-2</v>
      </c>
      <c r="D258" s="165">
        <v>-3.1900000000000001E-3</v>
      </c>
      <c r="E258" s="165">
        <v>-3.1900000000000001E-3</v>
      </c>
      <c r="F258" s="165">
        <v>-7.2700000000000004E-3</v>
      </c>
      <c r="G258" s="165">
        <v>-7.2700000000000004E-3</v>
      </c>
      <c r="H258" s="165">
        <v>5.3830000000000003E-2</v>
      </c>
      <c r="I258" s="76"/>
      <c r="J258" s="165">
        <v>-2.82E-3</v>
      </c>
      <c r="K258" s="76"/>
    </row>
    <row r="259" spans="1:13" x14ac:dyDescent="0.25">
      <c r="A259" s="58">
        <v>44742</v>
      </c>
      <c r="B259" s="76"/>
      <c r="C259" s="165">
        <v>-1.0749999999999999E-2</v>
      </c>
      <c r="D259" s="165">
        <v>-3.1900000000000001E-3</v>
      </c>
      <c r="E259" s="165">
        <v>-3.1900000000000001E-3</v>
      </c>
      <c r="F259" s="165">
        <v>-7.2700000000000004E-3</v>
      </c>
      <c r="G259" s="165">
        <v>-7.2700000000000004E-3</v>
      </c>
      <c r="H259" s="165">
        <v>5.3830000000000003E-2</v>
      </c>
      <c r="I259" s="76"/>
      <c r="J259" s="165">
        <v>-2.82E-3</v>
      </c>
      <c r="K259" s="76"/>
    </row>
    <row r="260" spans="1:13" x14ac:dyDescent="0.25">
      <c r="A260" s="58">
        <v>44773</v>
      </c>
      <c r="B260" s="76"/>
      <c r="C260" s="165">
        <v>-1.0749999999999999E-2</v>
      </c>
      <c r="D260" s="165">
        <v>-3.1900000000000001E-3</v>
      </c>
      <c r="E260" s="165">
        <v>-3.1900000000000001E-3</v>
      </c>
      <c r="F260" s="165">
        <v>-7.2700000000000004E-3</v>
      </c>
      <c r="G260" s="165">
        <v>-7.2700000000000004E-3</v>
      </c>
      <c r="H260" s="165">
        <v>5.3830000000000003E-2</v>
      </c>
      <c r="I260" s="76"/>
      <c r="J260" s="165">
        <v>-2.82E-3</v>
      </c>
      <c r="K260" s="76"/>
    </row>
    <row r="261" spans="1:13" x14ac:dyDescent="0.25">
      <c r="A261" s="58">
        <v>44804</v>
      </c>
      <c r="B261" s="76"/>
      <c r="C261" s="165">
        <v>-1.0749999999999999E-2</v>
      </c>
      <c r="D261" s="165">
        <v>-3.1900000000000001E-3</v>
      </c>
      <c r="E261" s="165">
        <v>-3.1900000000000001E-3</v>
      </c>
      <c r="F261" s="165">
        <v>-7.2700000000000004E-3</v>
      </c>
      <c r="G261" s="165">
        <v>-7.2700000000000004E-3</v>
      </c>
      <c r="H261" s="165">
        <v>5.3830000000000003E-2</v>
      </c>
      <c r="I261" s="76"/>
      <c r="J261" s="165">
        <v>-2.82E-3</v>
      </c>
      <c r="K261" s="76"/>
    </row>
    <row r="262" spans="1:13" x14ac:dyDescent="0.25">
      <c r="A262" s="58">
        <v>44834</v>
      </c>
      <c r="B262" s="76"/>
      <c r="C262" s="165">
        <v>-1.0749999999999999E-2</v>
      </c>
      <c r="D262" s="165">
        <v>-3.1900000000000001E-3</v>
      </c>
      <c r="E262" s="165">
        <v>-3.1900000000000001E-3</v>
      </c>
      <c r="F262" s="165">
        <v>-7.2700000000000004E-3</v>
      </c>
      <c r="G262" s="165">
        <v>-7.2700000000000004E-3</v>
      </c>
      <c r="H262" s="165">
        <v>5.3830000000000003E-2</v>
      </c>
      <c r="I262" s="76"/>
      <c r="J262" s="165">
        <v>-2.82E-3</v>
      </c>
      <c r="K262" s="76"/>
    </row>
    <row r="263" spans="1:13" x14ac:dyDescent="0.25">
      <c r="A263" s="58">
        <v>44865</v>
      </c>
      <c r="B263" s="76"/>
      <c r="C263" s="165">
        <v>-1.0749999999999999E-2</v>
      </c>
      <c r="D263" s="165">
        <v>-3.1900000000000001E-3</v>
      </c>
      <c r="E263" s="165">
        <v>-3.1900000000000001E-3</v>
      </c>
      <c r="F263" s="165">
        <v>-7.2700000000000004E-3</v>
      </c>
      <c r="G263" s="165">
        <v>-7.2700000000000004E-3</v>
      </c>
      <c r="H263" s="165">
        <v>5.3830000000000003E-2</v>
      </c>
      <c r="I263" s="76"/>
      <c r="J263" s="165">
        <v>-2.82E-3</v>
      </c>
      <c r="K263" s="76"/>
    </row>
    <row r="265" spans="1:13" x14ac:dyDescent="0.25">
      <c r="B265" s="617" t="s">
        <v>118</v>
      </c>
      <c r="C265" s="617"/>
      <c r="D265" s="617"/>
      <c r="E265" s="617"/>
      <c r="F265" s="617"/>
      <c r="G265" s="617"/>
      <c r="H265" s="617"/>
      <c r="I265" s="617"/>
      <c r="J265" s="617"/>
      <c r="K265" s="617"/>
    </row>
    <row r="266" spans="1:13" x14ac:dyDescent="0.25">
      <c r="B266" s="59">
        <v>502</v>
      </c>
      <c r="C266" s="59">
        <v>503</v>
      </c>
      <c r="D266" s="59" t="s">
        <v>105</v>
      </c>
      <c r="E266" s="59">
        <v>504</v>
      </c>
      <c r="F266" s="59" t="s">
        <v>106</v>
      </c>
      <c r="G266" s="59">
        <v>505</v>
      </c>
      <c r="H266" s="59" t="s">
        <v>151</v>
      </c>
      <c r="I266" s="59">
        <v>512</v>
      </c>
      <c r="J266" s="59">
        <v>570</v>
      </c>
      <c r="K266" s="59">
        <v>577</v>
      </c>
      <c r="M266" s="63" t="s">
        <v>3</v>
      </c>
    </row>
    <row r="267" spans="1:13" hidden="1" x14ac:dyDescent="0.25">
      <c r="A267" s="58">
        <v>43069</v>
      </c>
      <c r="B267" s="61">
        <f t="shared" ref="B267:K267" si="72">ROUND(+B137*B204,2)</f>
        <v>27.57</v>
      </c>
      <c r="C267" s="61">
        <f t="shared" si="72"/>
        <v>5280.85</v>
      </c>
      <c r="D267" s="61">
        <f t="shared" si="72"/>
        <v>-1.73</v>
      </c>
      <c r="E267" s="61">
        <f t="shared" si="72"/>
        <v>-2940.94</v>
      </c>
      <c r="F267" s="61">
        <f t="shared" si="72"/>
        <v>-2.99</v>
      </c>
      <c r="G267" s="61">
        <f t="shared" si="72"/>
        <v>-2405.94</v>
      </c>
      <c r="H267" s="61">
        <f t="shared" si="72"/>
        <v>8883.48</v>
      </c>
      <c r="I267" s="61">
        <f t="shared" si="72"/>
        <v>-0.81</v>
      </c>
      <c r="J267" s="61">
        <f t="shared" si="72"/>
        <v>790.98</v>
      </c>
      <c r="K267" s="61">
        <f t="shared" si="72"/>
        <v>17.71</v>
      </c>
      <c r="M267" s="57">
        <f>SUM(B267:L267)</f>
        <v>9648.1799999999985</v>
      </c>
    </row>
    <row r="268" spans="1:13" hidden="1" x14ac:dyDescent="0.25">
      <c r="A268" s="58">
        <v>43100</v>
      </c>
      <c r="B268" s="61">
        <f t="shared" ref="B268:K268" si="73">ROUND(+B138*B205,2)</f>
        <v>116.24</v>
      </c>
      <c r="C268" s="61">
        <f t="shared" si="73"/>
        <v>22689.759999999998</v>
      </c>
      <c r="D268" s="61">
        <f t="shared" si="73"/>
        <v>-3.49</v>
      </c>
      <c r="E268" s="61">
        <f t="shared" si="73"/>
        <v>-13528.42</v>
      </c>
      <c r="F268" s="61">
        <f t="shared" si="73"/>
        <v>-3.36</v>
      </c>
      <c r="G268" s="61">
        <f t="shared" si="73"/>
        <v>-11263.49</v>
      </c>
      <c r="H268" s="61">
        <f t="shared" si="73"/>
        <v>25507.94</v>
      </c>
      <c r="I268" s="61">
        <f t="shared" si="73"/>
        <v>-1.47</v>
      </c>
      <c r="J268" s="61">
        <f t="shared" si="73"/>
        <v>889.26</v>
      </c>
      <c r="K268" s="61">
        <f t="shared" si="73"/>
        <v>19.78</v>
      </c>
      <c r="M268" s="69">
        <f>SUM(B268:L268)-0.01</f>
        <v>24422.739999999994</v>
      </c>
    </row>
    <row r="269" spans="1:13" hidden="1" x14ac:dyDescent="0.25">
      <c r="A269" s="58">
        <v>43131</v>
      </c>
      <c r="B269" s="61">
        <f t="shared" ref="B269:K269" si="74">ROUND(+B139*B206,2)</f>
        <v>162.84</v>
      </c>
      <c r="C269" s="61">
        <f t="shared" si="74"/>
        <v>31738.19</v>
      </c>
      <c r="D269" s="61">
        <f t="shared" si="74"/>
        <v>-5.49</v>
      </c>
      <c r="E269" s="61">
        <f t="shared" si="74"/>
        <v>-19127.18</v>
      </c>
      <c r="F269" s="61">
        <f t="shared" si="74"/>
        <v>-10.199999999999999</v>
      </c>
      <c r="G269" s="61">
        <f t="shared" si="74"/>
        <v>-12422.74</v>
      </c>
      <c r="H269" s="61">
        <f t="shared" si="74"/>
        <v>35687.75</v>
      </c>
      <c r="I269" s="61">
        <f t="shared" si="74"/>
        <v>-1.77</v>
      </c>
      <c r="J269" s="61">
        <f t="shared" si="74"/>
        <v>856.51</v>
      </c>
      <c r="K269" s="61">
        <f t="shared" si="74"/>
        <v>19.36</v>
      </c>
      <c r="M269" s="57">
        <f t="shared" ref="M269:M277" si="75">SUM(B269:L269)</f>
        <v>36897.270000000004</v>
      </c>
    </row>
    <row r="270" spans="1:13" hidden="1" x14ac:dyDescent="0.25">
      <c r="A270" s="58">
        <v>43159</v>
      </c>
      <c r="B270" s="61">
        <f t="shared" ref="B270:K270" si="76">ROUND(+B140*B207,2)</f>
        <v>123.7</v>
      </c>
      <c r="C270" s="61">
        <f t="shared" si="76"/>
        <v>22353.57</v>
      </c>
      <c r="D270" s="61">
        <f t="shared" si="76"/>
        <v>-7.25</v>
      </c>
      <c r="E270" s="61">
        <f t="shared" si="76"/>
        <v>-13691.38</v>
      </c>
      <c r="F270" s="61">
        <f t="shared" si="76"/>
        <v>0</v>
      </c>
      <c r="G270" s="61">
        <f t="shared" si="76"/>
        <v>-10114.57</v>
      </c>
      <c r="H270" s="61">
        <f t="shared" si="76"/>
        <v>25855</v>
      </c>
      <c r="I270" s="61">
        <f t="shared" si="76"/>
        <v>-1.43</v>
      </c>
      <c r="J270" s="61">
        <f t="shared" si="76"/>
        <v>838.15</v>
      </c>
      <c r="K270" s="61">
        <f t="shared" si="76"/>
        <v>17.52</v>
      </c>
      <c r="M270" s="69">
        <f>SUM(B270:L270)-0.01</f>
        <v>25373.300000000003</v>
      </c>
    </row>
    <row r="271" spans="1:13" hidden="1" x14ac:dyDescent="0.25">
      <c r="A271" s="58">
        <v>43190</v>
      </c>
      <c r="B271" s="61">
        <f t="shared" ref="B271:K271" si="77">ROUND(+B141*B208,2)</f>
        <v>148.19999999999999</v>
      </c>
      <c r="C271" s="61">
        <f t="shared" si="77"/>
        <v>26491.98</v>
      </c>
      <c r="D271" s="61">
        <f t="shared" si="77"/>
        <v>-5.7</v>
      </c>
      <c r="E271" s="61">
        <f t="shared" si="77"/>
        <v>-15850.89</v>
      </c>
      <c r="F271" s="61">
        <f t="shared" si="77"/>
        <v>-0.41</v>
      </c>
      <c r="G271" s="61">
        <f t="shared" si="77"/>
        <v>-11298.15</v>
      </c>
      <c r="H271" s="61">
        <f t="shared" si="77"/>
        <v>30050.1</v>
      </c>
      <c r="I271" s="61">
        <f t="shared" si="77"/>
        <v>-1.67</v>
      </c>
      <c r="J271" s="61">
        <f t="shared" si="77"/>
        <v>833</v>
      </c>
      <c r="K271" s="61">
        <f t="shared" si="77"/>
        <v>17.010000000000002</v>
      </c>
      <c r="M271" s="69">
        <f>SUM(B271:L271)+0.02</f>
        <v>30383.489999999998</v>
      </c>
    </row>
    <row r="272" spans="1:13" hidden="1" x14ac:dyDescent="0.25">
      <c r="A272" s="58">
        <v>43220</v>
      </c>
      <c r="B272" s="61">
        <f t="shared" ref="B272:K272" si="78">ROUND(+B142*B209,2)</f>
        <v>90.83</v>
      </c>
      <c r="C272" s="61">
        <f t="shared" si="78"/>
        <v>17622.73</v>
      </c>
      <c r="D272" s="61">
        <f t="shared" si="78"/>
        <v>-3.56</v>
      </c>
      <c r="E272" s="61">
        <f t="shared" si="78"/>
        <v>-10945.16</v>
      </c>
      <c r="F272" s="61">
        <f t="shared" si="78"/>
        <v>0</v>
      </c>
      <c r="G272" s="61">
        <f t="shared" si="78"/>
        <v>-8946.69</v>
      </c>
      <c r="H272" s="61">
        <f t="shared" si="78"/>
        <v>25591.73</v>
      </c>
      <c r="I272" s="61">
        <f t="shared" si="78"/>
        <v>-1.53</v>
      </c>
      <c r="J272" s="61">
        <f t="shared" si="78"/>
        <v>697.47</v>
      </c>
      <c r="K272" s="61">
        <f t="shared" si="78"/>
        <v>13.2</v>
      </c>
      <c r="M272" s="57">
        <f t="shared" si="75"/>
        <v>24119.02</v>
      </c>
    </row>
    <row r="273" spans="1:13" hidden="1" x14ac:dyDescent="0.25">
      <c r="A273" s="58">
        <v>43251</v>
      </c>
      <c r="B273" s="61">
        <f t="shared" ref="B273:K273" si="79">ROUND(+B143*B210,2)</f>
        <v>45.95</v>
      </c>
      <c r="C273" s="61">
        <f t="shared" si="79"/>
        <v>10400.790000000001</v>
      </c>
      <c r="D273" s="61">
        <f t="shared" si="79"/>
        <v>-0.66</v>
      </c>
      <c r="E273" s="61">
        <f t="shared" si="79"/>
        <v>-6895.2</v>
      </c>
      <c r="F273" s="61">
        <f t="shared" si="79"/>
        <v>0</v>
      </c>
      <c r="G273" s="61">
        <f t="shared" si="79"/>
        <v>-6466.07</v>
      </c>
      <c r="H273" s="61">
        <f t="shared" si="79"/>
        <v>19532.36</v>
      </c>
      <c r="I273" s="61">
        <f t="shared" si="79"/>
        <v>-1.84</v>
      </c>
      <c r="J273" s="61">
        <f t="shared" si="79"/>
        <v>504.21</v>
      </c>
      <c r="K273" s="61">
        <f t="shared" si="79"/>
        <v>9.34</v>
      </c>
      <c r="M273" s="69">
        <f>SUM(B273:L273)-0.01</f>
        <v>17128.870000000003</v>
      </c>
    </row>
    <row r="274" spans="1:13" hidden="1" x14ac:dyDescent="0.25">
      <c r="A274" s="58">
        <v>43281</v>
      </c>
      <c r="B274" s="61">
        <f t="shared" ref="B274:K274" si="80">ROUND(+B144*B211,2)</f>
        <v>16.43</v>
      </c>
      <c r="C274" s="61">
        <f t="shared" si="80"/>
        <v>5652.39</v>
      </c>
      <c r="D274" s="61">
        <f t="shared" si="80"/>
        <v>-0.55000000000000004</v>
      </c>
      <c r="E274" s="61">
        <f t="shared" si="80"/>
        <v>-4316.8</v>
      </c>
      <c r="F274" s="61">
        <f t="shared" si="80"/>
        <v>-1.34</v>
      </c>
      <c r="G274" s="61">
        <f t="shared" si="80"/>
        <v>-4803.2299999999996</v>
      </c>
      <c r="H274" s="61">
        <f t="shared" si="80"/>
        <v>13937.6</v>
      </c>
      <c r="I274" s="61">
        <f t="shared" si="80"/>
        <v>-1.79</v>
      </c>
      <c r="J274" s="61">
        <f t="shared" si="80"/>
        <v>399.36</v>
      </c>
      <c r="K274" s="61">
        <f t="shared" si="80"/>
        <v>8.9</v>
      </c>
      <c r="M274" s="69">
        <f>SUM(B274:L274)+0.01</f>
        <v>10890.98</v>
      </c>
    </row>
    <row r="275" spans="1:13" hidden="1" x14ac:dyDescent="0.25">
      <c r="A275" s="58">
        <v>43312</v>
      </c>
      <c r="B275" s="61">
        <f t="shared" ref="B275:K275" si="81">ROUND(+B145*B212,2)</f>
        <v>7.97</v>
      </c>
      <c r="C275" s="61">
        <f t="shared" si="81"/>
        <v>4396.18</v>
      </c>
      <c r="D275" s="61">
        <f t="shared" si="81"/>
        <v>-0.16</v>
      </c>
      <c r="E275" s="61">
        <f t="shared" si="81"/>
        <v>-3637.64</v>
      </c>
      <c r="F275" s="61">
        <f t="shared" si="81"/>
        <v>0</v>
      </c>
      <c r="G275" s="61">
        <f t="shared" si="81"/>
        <v>-4239.4799999999996</v>
      </c>
      <c r="H275" s="61">
        <f t="shared" si="81"/>
        <v>11936.61</v>
      </c>
      <c r="I275" s="61">
        <f t="shared" si="81"/>
        <v>-1.68</v>
      </c>
      <c r="J275" s="61">
        <f t="shared" si="81"/>
        <v>416.28</v>
      </c>
      <c r="K275" s="61">
        <f t="shared" si="81"/>
        <v>3.64</v>
      </c>
      <c r="M275" s="57">
        <f t="shared" si="75"/>
        <v>8881.7200000000012</v>
      </c>
    </row>
    <row r="276" spans="1:13" hidden="1" x14ac:dyDescent="0.25">
      <c r="A276" s="58">
        <v>43343</v>
      </c>
      <c r="B276" s="76"/>
      <c r="C276" s="61">
        <f t="shared" ref="C276:H278" si="82">ROUND(+C146*C213,2)</f>
        <v>3828.3</v>
      </c>
      <c r="D276" s="61">
        <f t="shared" si="82"/>
        <v>-0.2</v>
      </c>
      <c r="E276" s="61">
        <f t="shared" si="82"/>
        <v>-3529.86</v>
      </c>
      <c r="F276" s="61">
        <f t="shared" si="82"/>
        <v>-2.89</v>
      </c>
      <c r="G276" s="61">
        <f t="shared" si="82"/>
        <v>-4375.8100000000004</v>
      </c>
      <c r="H276" s="61">
        <f t="shared" si="82"/>
        <v>11790.95</v>
      </c>
      <c r="I276" s="76"/>
      <c r="J276" s="61">
        <f>ROUND(+J146*J213,2)</f>
        <v>365.08</v>
      </c>
      <c r="K276" s="76"/>
      <c r="M276" s="57">
        <f t="shared" si="75"/>
        <v>8075.5700000000006</v>
      </c>
    </row>
    <row r="277" spans="1:13" hidden="1" x14ac:dyDescent="0.25">
      <c r="A277" s="58">
        <v>43373</v>
      </c>
      <c r="B277" s="76"/>
      <c r="C277" s="61">
        <f t="shared" si="82"/>
        <v>3960.96</v>
      </c>
      <c r="D277" s="61">
        <f t="shared" si="82"/>
        <v>-0.63</v>
      </c>
      <c r="E277" s="61">
        <f t="shared" si="82"/>
        <v>-3508.07</v>
      </c>
      <c r="F277" s="61">
        <f t="shared" si="82"/>
        <v>-1.51</v>
      </c>
      <c r="G277" s="61">
        <f t="shared" si="82"/>
        <v>-5216.53</v>
      </c>
      <c r="H277" s="61">
        <f t="shared" si="82"/>
        <v>11322.68</v>
      </c>
      <c r="I277" s="76"/>
      <c r="J277" s="61">
        <f>ROUND(+J147*J214,2)</f>
        <v>441.36</v>
      </c>
      <c r="K277" s="76"/>
      <c r="M277" s="57">
        <f t="shared" si="75"/>
        <v>6998.26</v>
      </c>
    </row>
    <row r="278" spans="1:13" hidden="1" x14ac:dyDescent="0.25">
      <c r="A278" s="58">
        <v>43404</v>
      </c>
      <c r="B278" s="76"/>
      <c r="C278" s="61">
        <f t="shared" si="82"/>
        <v>7483.03</v>
      </c>
      <c r="D278" s="61">
        <f t="shared" si="82"/>
        <v>-2.62</v>
      </c>
      <c r="E278" s="61">
        <f t="shared" si="82"/>
        <v>-5367.31</v>
      </c>
      <c r="F278" s="61">
        <f t="shared" si="82"/>
        <v>-0.17</v>
      </c>
      <c r="G278" s="61">
        <f t="shared" si="82"/>
        <v>-8304.27</v>
      </c>
      <c r="H278" s="61">
        <f t="shared" si="82"/>
        <v>20315.04</v>
      </c>
      <c r="I278" s="76"/>
      <c r="J278" s="61">
        <f>ROUND(+J148*J215,2)</f>
        <v>735.6</v>
      </c>
      <c r="K278" s="76"/>
      <c r="M278" s="69">
        <f>SUM(B278:L278)-0.01</f>
        <v>14859.29</v>
      </c>
    </row>
    <row r="279" spans="1:13" hidden="1" x14ac:dyDescent="0.25">
      <c r="A279" s="58">
        <v>43434</v>
      </c>
      <c r="B279" s="76"/>
      <c r="C279" s="61">
        <f t="shared" ref="C279:H280" si="83">+C149*C215</f>
        <v>8075.7609000000002</v>
      </c>
      <c r="D279" s="61">
        <f t="shared" si="83"/>
        <v>0</v>
      </c>
      <c r="E279" s="61">
        <f t="shared" si="83"/>
        <v>-5079.4997400000002</v>
      </c>
      <c r="F279" s="61">
        <f t="shared" si="83"/>
        <v>0</v>
      </c>
      <c r="G279" s="61">
        <f t="shared" si="83"/>
        <v>-5564.7798499999999</v>
      </c>
      <c r="H279" s="61">
        <f t="shared" si="83"/>
        <v>10273.40458</v>
      </c>
      <c r="I279" s="76"/>
      <c r="J279" s="61">
        <f>+J149*J215</f>
        <v>0</v>
      </c>
      <c r="K279" s="76"/>
      <c r="M279" s="69">
        <f>SUM(B279:L279)-0.01</f>
        <v>7704.8758900000003</v>
      </c>
    </row>
    <row r="280" spans="1:13" hidden="1" x14ac:dyDescent="0.25">
      <c r="A280" s="58">
        <v>43434</v>
      </c>
      <c r="B280" s="76"/>
      <c r="C280" s="61">
        <f t="shared" si="83"/>
        <v>83584.423999999999</v>
      </c>
      <c r="D280" s="61">
        <f t="shared" si="83"/>
        <v>105.47880000000001</v>
      </c>
      <c r="E280" s="61">
        <f t="shared" si="83"/>
        <v>64631.099400000006</v>
      </c>
      <c r="F280" s="61">
        <f t="shared" si="83"/>
        <v>-0.20223000000000002</v>
      </c>
      <c r="G280" s="61">
        <f t="shared" si="83"/>
        <v>-956.84643000000005</v>
      </c>
      <c r="H280" s="61">
        <f t="shared" si="83"/>
        <v>20753.155920000001</v>
      </c>
      <c r="I280" s="76"/>
      <c r="J280" s="61">
        <f>+J150*J216</f>
        <v>-1634.8368800000001</v>
      </c>
      <c r="K280" s="76"/>
      <c r="M280" s="57">
        <f>SUM(B280:L280)</f>
        <v>166482.27257999999</v>
      </c>
    </row>
    <row r="281" spans="1:13" hidden="1" x14ac:dyDescent="0.25">
      <c r="A281" s="58">
        <v>43465</v>
      </c>
      <c r="B281" s="76"/>
      <c r="C281" s="61">
        <f t="shared" ref="C281:H291" si="84">ROUND(+C151*C217,2)</f>
        <v>440256.57</v>
      </c>
      <c r="D281" s="61">
        <f t="shared" si="84"/>
        <v>149.66</v>
      </c>
      <c r="E281" s="61">
        <f t="shared" si="84"/>
        <v>348962.79</v>
      </c>
      <c r="F281" s="61">
        <f t="shared" si="84"/>
        <v>-0.25</v>
      </c>
      <c r="G281" s="61">
        <f t="shared" si="84"/>
        <v>-4735.6899999999996</v>
      </c>
      <c r="H281" s="61">
        <f t="shared" si="84"/>
        <v>85595.38</v>
      </c>
      <c r="I281" s="76"/>
      <c r="J281" s="61">
        <f t="shared" ref="J281:J291" si="85">ROUND(+J151*J217,2)</f>
        <v>-1956.22</v>
      </c>
      <c r="K281" s="76"/>
      <c r="M281" s="57">
        <f t="shared" ref="M281:M291" si="86">SUM(B281:L281)</f>
        <v>868272.24000000011</v>
      </c>
    </row>
    <row r="282" spans="1:13" hidden="1" x14ac:dyDescent="0.25">
      <c r="A282" s="58">
        <v>43496</v>
      </c>
      <c r="B282" s="76"/>
      <c r="C282" s="61">
        <f t="shared" si="84"/>
        <v>502151.22</v>
      </c>
      <c r="D282" s="61">
        <f t="shared" si="84"/>
        <v>140.86000000000001</v>
      </c>
      <c r="E282" s="61">
        <f t="shared" si="84"/>
        <v>399442.1</v>
      </c>
      <c r="F282" s="61">
        <f t="shared" si="84"/>
        <v>-0.02</v>
      </c>
      <c r="G282" s="61">
        <f t="shared" si="84"/>
        <v>-4602.2299999999996</v>
      </c>
      <c r="H282" s="61">
        <f t="shared" si="84"/>
        <v>91659.65</v>
      </c>
      <c r="I282" s="76"/>
      <c r="J282" s="61">
        <f t="shared" si="85"/>
        <v>-1943.67</v>
      </c>
      <c r="K282" s="76"/>
      <c r="M282" s="57">
        <f t="shared" si="86"/>
        <v>986847.90999999992</v>
      </c>
    </row>
    <row r="283" spans="1:13" hidden="1" x14ac:dyDescent="0.25">
      <c r="A283" s="58">
        <v>43524</v>
      </c>
      <c r="B283" s="76"/>
      <c r="C283" s="61">
        <f t="shared" si="84"/>
        <v>538364.84</v>
      </c>
      <c r="D283" s="61">
        <f t="shared" si="84"/>
        <v>167.05</v>
      </c>
      <c r="E283" s="61">
        <f t="shared" si="84"/>
        <v>425941.51</v>
      </c>
      <c r="F283" s="61">
        <f t="shared" si="84"/>
        <v>0</v>
      </c>
      <c r="G283" s="61">
        <f t="shared" si="84"/>
        <v>-5187.84</v>
      </c>
      <c r="H283" s="61">
        <f t="shared" si="84"/>
        <v>93933.4</v>
      </c>
      <c r="I283" s="76"/>
      <c r="J283" s="61">
        <f t="shared" si="85"/>
        <v>-2029.08</v>
      </c>
      <c r="K283" s="76"/>
      <c r="M283" s="69">
        <f>SUM(B283:L283)+0.01</f>
        <v>1051189.8899999999</v>
      </c>
    </row>
    <row r="284" spans="1:13" hidden="1" x14ac:dyDescent="0.25">
      <c r="A284" s="58">
        <v>43555</v>
      </c>
      <c r="B284" s="76"/>
      <c r="C284" s="61">
        <f t="shared" si="84"/>
        <v>579212.56999999995</v>
      </c>
      <c r="D284" s="61">
        <f t="shared" si="84"/>
        <v>107.4</v>
      </c>
      <c r="E284" s="61">
        <f t="shared" si="84"/>
        <v>485428.57</v>
      </c>
      <c r="F284" s="61">
        <f t="shared" si="84"/>
        <v>0</v>
      </c>
      <c r="G284" s="61">
        <f t="shared" si="84"/>
        <v>-5761.08</v>
      </c>
      <c r="H284" s="61">
        <f t="shared" si="84"/>
        <v>101084.05</v>
      </c>
      <c r="I284" s="76"/>
      <c r="J284" s="61">
        <f t="shared" si="85"/>
        <v>-1863.57</v>
      </c>
      <c r="K284" s="76"/>
      <c r="M284" s="69">
        <f>SUM(B284:L284)-0.01</f>
        <v>1158207.93</v>
      </c>
    </row>
    <row r="285" spans="1:13" hidden="1" x14ac:dyDescent="0.25">
      <c r="A285" s="58">
        <v>43585</v>
      </c>
      <c r="B285" s="76"/>
      <c r="C285" s="61">
        <f t="shared" si="84"/>
        <v>316981.95</v>
      </c>
      <c r="D285" s="61">
        <f t="shared" si="84"/>
        <v>68.760000000000005</v>
      </c>
      <c r="E285" s="61">
        <f t="shared" si="84"/>
        <v>276989.86</v>
      </c>
      <c r="F285" s="61">
        <f t="shared" si="84"/>
        <v>-0.41</v>
      </c>
      <c r="G285" s="61">
        <f t="shared" si="84"/>
        <v>-4273.51</v>
      </c>
      <c r="H285" s="61">
        <f t="shared" si="84"/>
        <v>69324.56</v>
      </c>
      <c r="I285" s="76"/>
      <c r="J285" s="61">
        <f t="shared" si="85"/>
        <v>-1437.92</v>
      </c>
      <c r="K285" s="76"/>
      <c r="M285" s="57">
        <f t="shared" si="86"/>
        <v>657653.28999999992</v>
      </c>
    </row>
    <row r="286" spans="1:13" hidden="1" x14ac:dyDescent="0.25">
      <c r="A286" s="58">
        <v>43616</v>
      </c>
      <c r="B286" s="76"/>
      <c r="C286" s="61">
        <f t="shared" si="84"/>
        <v>191537.36</v>
      </c>
      <c r="D286" s="61">
        <f t="shared" si="84"/>
        <v>19.64</v>
      </c>
      <c r="E286" s="61">
        <f t="shared" si="84"/>
        <v>163532.64000000001</v>
      </c>
      <c r="F286" s="61">
        <f t="shared" si="84"/>
        <v>-0.48</v>
      </c>
      <c r="G286" s="61">
        <f t="shared" si="84"/>
        <v>-2535.5100000000002</v>
      </c>
      <c r="H286" s="61">
        <f t="shared" si="84"/>
        <v>48645.96</v>
      </c>
      <c r="I286" s="76"/>
      <c r="J286" s="61">
        <f t="shared" si="85"/>
        <v>-1068.3399999999999</v>
      </c>
      <c r="K286" s="76"/>
      <c r="M286" s="57">
        <f t="shared" si="86"/>
        <v>400131.27</v>
      </c>
    </row>
    <row r="287" spans="1:13" hidden="1" x14ac:dyDescent="0.25">
      <c r="A287" s="58">
        <v>43646</v>
      </c>
      <c r="B287" s="76"/>
      <c r="C287" s="61">
        <f t="shared" si="84"/>
        <v>104607.32</v>
      </c>
      <c r="D287" s="61">
        <f t="shared" si="84"/>
        <v>11.18</v>
      </c>
      <c r="E287" s="61">
        <f t="shared" si="84"/>
        <v>105523.99</v>
      </c>
      <c r="F287" s="61">
        <f t="shared" si="84"/>
        <v>0</v>
      </c>
      <c r="G287" s="61">
        <f t="shared" si="84"/>
        <v>-1858.71</v>
      </c>
      <c r="H287" s="61">
        <f t="shared" si="84"/>
        <v>38262.69</v>
      </c>
      <c r="I287" s="76"/>
      <c r="J287" s="61">
        <f t="shared" si="85"/>
        <v>-833.51</v>
      </c>
      <c r="K287" s="76"/>
      <c r="M287" s="57">
        <f t="shared" si="86"/>
        <v>245712.96</v>
      </c>
    </row>
    <row r="288" spans="1:13" hidden="1" x14ac:dyDescent="0.25">
      <c r="A288" s="58">
        <v>43677</v>
      </c>
      <c r="B288" s="76"/>
      <c r="C288" s="61">
        <f t="shared" si="84"/>
        <v>83173.070000000007</v>
      </c>
      <c r="D288" s="61">
        <f t="shared" si="84"/>
        <v>4.72</v>
      </c>
      <c r="E288" s="61">
        <f t="shared" si="84"/>
        <v>93010.38</v>
      </c>
      <c r="F288" s="61">
        <f t="shared" si="84"/>
        <v>-0.52</v>
      </c>
      <c r="G288" s="61">
        <f t="shared" si="84"/>
        <v>-1724.31</v>
      </c>
      <c r="H288" s="61">
        <f t="shared" si="84"/>
        <v>36554.980000000003</v>
      </c>
      <c r="I288" s="76"/>
      <c r="J288" s="61">
        <f t="shared" si="85"/>
        <v>-901.41</v>
      </c>
      <c r="K288" s="76"/>
      <c r="M288" s="69">
        <f>SUM(B288:L288)-0.01</f>
        <v>210116.90000000002</v>
      </c>
    </row>
    <row r="289" spans="1:13" hidden="1" x14ac:dyDescent="0.25">
      <c r="A289" s="58">
        <v>43708</v>
      </c>
      <c r="B289" s="76"/>
      <c r="C289" s="61">
        <f t="shared" si="84"/>
        <v>71736.28</v>
      </c>
      <c r="D289" s="61">
        <f t="shared" si="84"/>
        <v>4.2</v>
      </c>
      <c r="E289" s="61">
        <f t="shared" si="84"/>
        <v>85009.4</v>
      </c>
      <c r="F289" s="61">
        <f t="shared" si="84"/>
        <v>0</v>
      </c>
      <c r="G289" s="61">
        <f t="shared" si="84"/>
        <v>-1811.74</v>
      </c>
      <c r="H289" s="61">
        <f t="shared" si="84"/>
        <v>38098.080000000002</v>
      </c>
      <c r="I289" s="76"/>
      <c r="J289" s="61">
        <f t="shared" si="85"/>
        <v>-703.13</v>
      </c>
      <c r="K289" s="76"/>
      <c r="M289" s="57">
        <f t="shared" si="86"/>
        <v>192333.09000000003</v>
      </c>
    </row>
    <row r="290" spans="1:13" hidden="1" x14ac:dyDescent="0.25">
      <c r="A290" s="58">
        <v>43738</v>
      </c>
      <c r="B290" s="76"/>
      <c r="C290" s="61">
        <f t="shared" si="84"/>
        <v>69584.240000000005</v>
      </c>
      <c r="D290" s="61">
        <f t="shared" si="84"/>
        <v>18.850000000000001</v>
      </c>
      <c r="E290" s="61">
        <f t="shared" si="84"/>
        <v>81383.38</v>
      </c>
      <c r="F290" s="61">
        <f t="shared" si="84"/>
        <v>-1.32</v>
      </c>
      <c r="G290" s="61">
        <f t="shared" si="84"/>
        <v>-2092.87</v>
      </c>
      <c r="H290" s="61">
        <f t="shared" si="84"/>
        <v>33319.57</v>
      </c>
      <c r="I290" s="76"/>
      <c r="J290" s="61">
        <f t="shared" si="85"/>
        <v>-836.93</v>
      </c>
      <c r="K290" s="76"/>
      <c r="M290" s="57">
        <f t="shared" si="86"/>
        <v>181374.92000000004</v>
      </c>
    </row>
    <row r="291" spans="1:13" hidden="1" x14ac:dyDescent="0.25">
      <c r="A291" s="58">
        <v>43769</v>
      </c>
      <c r="B291" s="76"/>
      <c r="C291" s="61">
        <f t="shared" si="84"/>
        <v>164573.17000000001</v>
      </c>
      <c r="D291" s="61">
        <f t="shared" si="84"/>
        <v>89.98</v>
      </c>
      <c r="E291" s="61">
        <f t="shared" si="84"/>
        <v>147787.60999999999</v>
      </c>
      <c r="F291" s="61">
        <f t="shared" si="84"/>
        <v>-1.02</v>
      </c>
      <c r="G291" s="61">
        <f t="shared" si="84"/>
        <v>-4090.68</v>
      </c>
      <c r="H291" s="61">
        <f t="shared" si="84"/>
        <v>123709.63</v>
      </c>
      <c r="I291" s="76"/>
      <c r="J291" s="61">
        <f t="shared" si="85"/>
        <v>-1748.48</v>
      </c>
      <c r="K291" s="76"/>
      <c r="M291" s="57">
        <f t="shared" si="86"/>
        <v>430320.21</v>
      </c>
    </row>
    <row r="292" spans="1:13" hidden="1" x14ac:dyDescent="0.25">
      <c r="A292" s="58">
        <v>43799</v>
      </c>
      <c r="B292" s="76"/>
      <c r="C292" s="61">
        <f t="shared" ref="C292:C304" si="87">+C162*C227</f>
        <v>197032.16390000001</v>
      </c>
      <c r="D292" s="61">
        <f t="shared" ref="D292:H292" si="88">+D162*D227</f>
        <v>0</v>
      </c>
      <c r="E292" s="61">
        <f t="shared" si="88"/>
        <v>161967.75210000001</v>
      </c>
      <c r="F292" s="61">
        <f t="shared" si="88"/>
        <v>0</v>
      </c>
      <c r="G292" s="61">
        <f t="shared" si="88"/>
        <v>-2588.7141300000003</v>
      </c>
      <c r="H292" s="61">
        <f t="shared" si="88"/>
        <v>46582.015200000002</v>
      </c>
      <c r="I292" s="76"/>
      <c r="J292" s="61">
        <f t="shared" ref="J292:J304" si="89">+J162*J227</f>
        <v>0</v>
      </c>
      <c r="K292" s="76"/>
      <c r="M292" s="69">
        <f>SUM(B292:L292)-0.01</f>
        <v>402993.20707000006</v>
      </c>
    </row>
    <row r="293" spans="1:13" hidden="1" x14ac:dyDescent="0.25">
      <c r="A293" s="58">
        <v>43799</v>
      </c>
      <c r="B293" s="76"/>
      <c r="C293" s="61">
        <f t="shared" si="87"/>
        <v>-55694.992599999998</v>
      </c>
      <c r="D293" s="61">
        <f t="shared" ref="D293:H304" si="90">+D163*D228</f>
        <v>-3.2059799999999998</v>
      </c>
      <c r="E293" s="61">
        <f t="shared" si="90"/>
        <v>-2097.5209199999999</v>
      </c>
      <c r="F293" s="61">
        <f t="shared" si="90"/>
        <v>2.87235</v>
      </c>
      <c r="G293" s="61">
        <f t="shared" si="90"/>
        <v>2060.1945000000001</v>
      </c>
      <c r="H293" s="61">
        <f t="shared" si="90"/>
        <v>41064.228379999993</v>
      </c>
      <c r="I293" s="76"/>
      <c r="J293" s="61">
        <f t="shared" si="89"/>
        <v>-4388.2409800000005</v>
      </c>
      <c r="K293" s="76"/>
      <c r="M293" s="57">
        <f t="shared" ref="M293" si="91">SUM(B293:L293)</f>
        <v>-19056.665250000013</v>
      </c>
    </row>
    <row r="294" spans="1:13" hidden="1" x14ac:dyDescent="0.25">
      <c r="A294" s="58">
        <v>43830</v>
      </c>
      <c r="B294" s="76"/>
      <c r="C294" s="61">
        <f t="shared" si="87"/>
        <v>-245342.20019999999</v>
      </c>
      <c r="D294" s="61">
        <f t="shared" si="90"/>
        <v>-3.6871199999999997</v>
      </c>
      <c r="E294" s="61">
        <f t="shared" si="90"/>
        <v>-9701.1318599999995</v>
      </c>
      <c r="F294" s="61">
        <f t="shared" si="90"/>
        <v>1.52685</v>
      </c>
      <c r="G294" s="61">
        <f t="shared" si="90"/>
        <v>8322.4205999999995</v>
      </c>
      <c r="H294" s="61">
        <f t="shared" si="90"/>
        <v>65025.466019999993</v>
      </c>
      <c r="I294" s="76"/>
      <c r="J294" s="61">
        <f t="shared" si="89"/>
        <v>-4841.5259000000005</v>
      </c>
      <c r="K294" s="76"/>
      <c r="M294" s="57">
        <f t="shared" ref="M294:M330" si="92">SUM(B294:L294)</f>
        <v>-186539.13160999998</v>
      </c>
    </row>
    <row r="295" spans="1:13" hidden="1" x14ac:dyDescent="0.25">
      <c r="A295" s="58">
        <v>43861</v>
      </c>
      <c r="B295" s="76"/>
      <c r="C295" s="61">
        <f t="shared" si="87"/>
        <v>-298066.15119999996</v>
      </c>
      <c r="D295" s="61">
        <f t="shared" si="90"/>
        <v>-3.9584699999999997</v>
      </c>
      <c r="E295" s="61">
        <f t="shared" si="90"/>
        <v>-11727.753479999999</v>
      </c>
      <c r="F295" s="61">
        <f t="shared" si="90"/>
        <v>0.49725000000000003</v>
      </c>
      <c r="G295" s="61">
        <f t="shared" si="90"/>
        <v>8908.1284500000002</v>
      </c>
      <c r="H295" s="61">
        <f t="shared" si="90"/>
        <v>73094.509019999998</v>
      </c>
      <c r="I295" s="76"/>
      <c r="J295" s="61">
        <f t="shared" si="89"/>
        <v>-4883.2291800000003</v>
      </c>
      <c r="K295" s="76"/>
      <c r="M295" s="57">
        <f t="shared" si="92"/>
        <v>-232677.95760999995</v>
      </c>
    </row>
    <row r="296" spans="1:13" hidden="1" x14ac:dyDescent="0.25">
      <c r="A296" s="58">
        <v>43890</v>
      </c>
      <c r="B296" s="76"/>
      <c r="C296" s="61">
        <f t="shared" si="87"/>
        <v>-243344.17249999999</v>
      </c>
      <c r="D296" s="61">
        <f t="shared" si="90"/>
        <v>-3.7664999999999997</v>
      </c>
      <c r="E296" s="61">
        <f t="shared" si="90"/>
        <v>-9696.4298099999996</v>
      </c>
      <c r="F296" s="61">
        <f t="shared" si="90"/>
        <v>1.99485</v>
      </c>
      <c r="G296" s="61">
        <f t="shared" si="90"/>
        <v>7736.5957500000004</v>
      </c>
      <c r="H296" s="61">
        <f t="shared" si="90"/>
        <v>64146.791299999997</v>
      </c>
      <c r="I296" s="76"/>
      <c r="J296" s="61">
        <f t="shared" si="89"/>
        <v>-4364.5684600000004</v>
      </c>
      <c r="K296" s="76"/>
      <c r="M296" s="57">
        <f t="shared" si="92"/>
        <v>-185523.55536999999</v>
      </c>
    </row>
    <row r="297" spans="1:13" hidden="1" x14ac:dyDescent="0.25">
      <c r="A297" s="58">
        <v>43921</v>
      </c>
      <c r="B297" s="76"/>
      <c r="C297" s="61">
        <f t="shared" si="87"/>
        <v>-245137.77289999998</v>
      </c>
      <c r="D297" s="61">
        <f t="shared" si="90"/>
        <v>-3.9714299999999998</v>
      </c>
      <c r="E297" s="61">
        <f t="shared" si="90"/>
        <v>-9568.4984100000001</v>
      </c>
      <c r="F297" s="61">
        <f t="shared" si="90"/>
        <v>1.0647</v>
      </c>
      <c r="G297" s="61">
        <f t="shared" si="90"/>
        <v>7934.2087499999998</v>
      </c>
      <c r="H297" s="61">
        <f t="shared" si="90"/>
        <v>65092.976719999991</v>
      </c>
      <c r="I297" s="76"/>
      <c r="J297" s="61">
        <f t="shared" si="89"/>
        <v>-4369.7909</v>
      </c>
      <c r="K297" s="76"/>
      <c r="M297" s="57">
        <f t="shared" si="92"/>
        <v>-186051.78346999999</v>
      </c>
    </row>
    <row r="298" spans="1:13" hidden="1" x14ac:dyDescent="0.25">
      <c r="A298" s="58">
        <v>43951</v>
      </c>
      <c r="B298" s="76"/>
      <c r="C298" s="61">
        <f t="shared" si="87"/>
        <v>-193631.15609999999</v>
      </c>
      <c r="D298" s="61">
        <f t="shared" si="90"/>
        <v>-3.1500899999999996</v>
      </c>
      <c r="E298" s="61">
        <f t="shared" si="90"/>
        <v>-6929.1968399999996</v>
      </c>
      <c r="F298" s="61">
        <f t="shared" si="90"/>
        <v>1.1290500000000001</v>
      </c>
      <c r="G298" s="61">
        <f t="shared" si="90"/>
        <v>6601.2453000000005</v>
      </c>
      <c r="H298" s="61">
        <f t="shared" si="90"/>
        <v>56973.500979999997</v>
      </c>
      <c r="I298" s="76"/>
      <c r="J298" s="61">
        <f t="shared" si="89"/>
        <v>-3612.2702600000002</v>
      </c>
      <c r="K298" s="76"/>
      <c r="M298" s="57">
        <f t="shared" si="92"/>
        <v>-140599.89796</v>
      </c>
    </row>
    <row r="299" spans="1:13" hidden="1" x14ac:dyDescent="0.25">
      <c r="A299" s="58">
        <v>43982</v>
      </c>
      <c r="B299" s="76"/>
      <c r="C299" s="61">
        <f t="shared" si="87"/>
        <v>-94652.077799999999</v>
      </c>
      <c r="D299" s="61">
        <f t="shared" si="90"/>
        <v>-1.7973899999999998</v>
      </c>
      <c r="E299" s="61">
        <f t="shared" si="90"/>
        <v>-3343.6135799999997</v>
      </c>
      <c r="F299" s="61">
        <f t="shared" si="90"/>
        <v>0</v>
      </c>
      <c r="G299" s="61">
        <f t="shared" si="90"/>
        <v>4172.2726499999999</v>
      </c>
      <c r="H299" s="61">
        <f t="shared" si="90"/>
        <v>33464.73158</v>
      </c>
      <c r="I299" s="76"/>
      <c r="J299" s="61">
        <f t="shared" si="89"/>
        <v>-2658.37444</v>
      </c>
      <c r="K299" s="76"/>
      <c r="M299" s="57">
        <f t="shared" si="92"/>
        <v>-63018.858980000012</v>
      </c>
    </row>
    <row r="300" spans="1:13" hidden="1" x14ac:dyDescent="0.25">
      <c r="A300" s="58">
        <v>44012</v>
      </c>
      <c r="B300" s="76"/>
      <c r="C300" s="61">
        <f t="shared" si="87"/>
        <v>-69576.171999999991</v>
      </c>
      <c r="D300" s="61">
        <f t="shared" si="90"/>
        <v>-1.7001899999999999</v>
      </c>
      <c r="E300" s="61">
        <f t="shared" si="90"/>
        <v>-2558.6968499999998</v>
      </c>
      <c r="F300" s="61">
        <f t="shared" si="90"/>
        <v>0</v>
      </c>
      <c r="G300" s="61">
        <f t="shared" si="90"/>
        <v>3727.7896500000002</v>
      </c>
      <c r="H300" s="61">
        <f t="shared" si="90"/>
        <v>32236.994299999998</v>
      </c>
      <c r="I300" s="76"/>
      <c r="J300" s="61">
        <f t="shared" si="89"/>
        <v>-2087.1653000000001</v>
      </c>
      <c r="K300" s="76"/>
      <c r="M300" s="69">
        <f>SUM(B300:L300)-0.01</f>
        <v>-38258.960389999986</v>
      </c>
    </row>
    <row r="301" spans="1:13" hidden="1" x14ac:dyDescent="0.25">
      <c r="A301" s="58">
        <v>44043</v>
      </c>
      <c r="B301" s="76"/>
      <c r="C301" s="61">
        <f t="shared" si="87"/>
        <v>-55945.609599999996</v>
      </c>
      <c r="D301" s="61">
        <f t="shared" si="90"/>
        <v>-0.76383000000000001</v>
      </c>
      <c r="E301" s="61">
        <f t="shared" si="90"/>
        <v>-2297.54394</v>
      </c>
      <c r="F301" s="61">
        <f t="shared" si="90"/>
        <v>0</v>
      </c>
      <c r="G301" s="61">
        <f t="shared" si="90"/>
        <v>3290.4144000000001</v>
      </c>
      <c r="H301" s="61">
        <f t="shared" si="90"/>
        <v>30339.367199999997</v>
      </c>
      <c r="I301" s="76"/>
      <c r="J301" s="61">
        <f t="shared" si="89"/>
        <v>-2027.6599800000001</v>
      </c>
      <c r="K301" s="76"/>
      <c r="M301" s="57">
        <f t="shared" si="92"/>
        <v>-26641.795750000005</v>
      </c>
    </row>
    <row r="302" spans="1:13" hidden="1" x14ac:dyDescent="0.25">
      <c r="A302" s="58">
        <v>44074</v>
      </c>
      <c r="B302" s="76"/>
      <c r="C302" s="61">
        <f t="shared" si="87"/>
        <v>-37979.845699999998</v>
      </c>
      <c r="D302" s="61">
        <f t="shared" si="90"/>
        <v>-0.66095999999999999</v>
      </c>
      <c r="E302" s="61">
        <f t="shared" si="90"/>
        <v>-1754.29314</v>
      </c>
      <c r="F302" s="61">
        <f t="shared" si="90"/>
        <v>0</v>
      </c>
      <c r="G302" s="61">
        <f t="shared" si="90"/>
        <v>2909.4506999999999</v>
      </c>
      <c r="H302" s="61">
        <f t="shared" si="90"/>
        <v>24535.967659999998</v>
      </c>
      <c r="I302" s="76"/>
      <c r="J302" s="61">
        <f t="shared" si="89"/>
        <v>-1915.53</v>
      </c>
      <c r="K302" s="76"/>
      <c r="M302" s="57">
        <f t="shared" si="92"/>
        <v>-14204.911440000002</v>
      </c>
    </row>
    <row r="303" spans="1:13" hidden="1" x14ac:dyDescent="0.25">
      <c r="A303" s="58">
        <v>44104</v>
      </c>
      <c r="B303" s="76"/>
      <c r="C303" s="61">
        <f t="shared" si="87"/>
        <v>-40983.871999999996</v>
      </c>
      <c r="D303" s="61">
        <f t="shared" si="90"/>
        <v>-0.52083000000000002</v>
      </c>
      <c r="E303" s="61">
        <f t="shared" si="90"/>
        <v>-1984.8134699999998</v>
      </c>
      <c r="F303" s="61">
        <f t="shared" si="90"/>
        <v>0</v>
      </c>
      <c r="G303" s="61">
        <f t="shared" si="90"/>
        <v>3631.6624500000003</v>
      </c>
      <c r="H303" s="61">
        <f t="shared" si="90"/>
        <v>24919.870039999998</v>
      </c>
      <c r="I303" s="76"/>
      <c r="J303" s="61">
        <f t="shared" si="89"/>
        <v>-1802.2945400000001</v>
      </c>
      <c r="K303" s="76"/>
      <c r="M303" s="69">
        <f>SUM(B303:L303)+0.01</f>
        <v>-16219.958349999997</v>
      </c>
    </row>
    <row r="304" spans="1:13" hidden="1" x14ac:dyDescent="0.25">
      <c r="A304" s="58">
        <v>44135</v>
      </c>
      <c r="B304" s="76"/>
      <c r="C304" s="61">
        <f t="shared" si="87"/>
        <v>-58831.207899999994</v>
      </c>
      <c r="D304" s="61">
        <f t="shared" si="90"/>
        <v>-2.6648999999999998</v>
      </c>
      <c r="E304" s="61">
        <f t="shared" si="90"/>
        <v>-2578.7151899999999</v>
      </c>
      <c r="F304" s="61">
        <f t="shared" si="90"/>
        <v>0</v>
      </c>
      <c r="G304" s="61">
        <f t="shared" si="90"/>
        <v>5854.3231500000002</v>
      </c>
      <c r="H304" s="61">
        <f t="shared" si="90"/>
        <v>17204.227479999998</v>
      </c>
      <c r="I304" s="76"/>
      <c r="J304" s="61">
        <f t="shared" si="89"/>
        <v>-3408.6904</v>
      </c>
      <c r="K304" s="76"/>
      <c r="M304" s="57">
        <f t="shared" si="92"/>
        <v>-41762.727760000002</v>
      </c>
    </row>
    <row r="305" spans="1:14" hidden="1" x14ac:dyDescent="0.25">
      <c r="A305" s="58">
        <v>44165</v>
      </c>
      <c r="B305" s="76"/>
      <c r="C305" s="61">
        <f>+C175*C239</f>
        <v>-95728.604999999996</v>
      </c>
      <c r="D305" s="61">
        <f t="shared" ref="D305:G305" si="93">+D175*D239</f>
        <v>0</v>
      </c>
      <c r="E305" s="61">
        <f t="shared" si="93"/>
        <v>-3586.9902299999999</v>
      </c>
      <c r="F305" s="61">
        <f t="shared" si="93"/>
        <v>0</v>
      </c>
      <c r="G305" s="61">
        <f t="shared" si="93"/>
        <v>3599.1247499999999</v>
      </c>
      <c r="H305" s="61">
        <f>+H175*H239</f>
        <v>15529.258679999999</v>
      </c>
      <c r="I305" s="76"/>
      <c r="J305" s="61">
        <f t="shared" ref="J305:J317" si="94">+J175*J239</f>
        <v>0</v>
      </c>
      <c r="K305" s="76"/>
      <c r="M305" s="69">
        <f>SUM(B305:L305)-0.01</f>
        <v>-80187.221799999985</v>
      </c>
    </row>
    <row r="306" spans="1:14" hidden="1" x14ac:dyDescent="0.25">
      <c r="A306" s="58">
        <v>44165</v>
      </c>
      <c r="B306" s="76"/>
      <c r="C306" s="61">
        <f>+C176*C240</f>
        <v>32441.154200000001</v>
      </c>
      <c r="D306" s="61">
        <f t="shared" ref="D306:H306" si="95">+D176*D240</f>
        <v>136.58412000000001</v>
      </c>
      <c r="E306" s="61">
        <f t="shared" si="95"/>
        <v>49724.585880000006</v>
      </c>
      <c r="F306" s="61">
        <f t="shared" si="95"/>
        <v>0</v>
      </c>
      <c r="G306" s="61">
        <f t="shared" si="95"/>
        <v>3614.0868399999999</v>
      </c>
      <c r="H306" s="61">
        <f t="shared" si="95"/>
        <v>8581.2109199999995</v>
      </c>
      <c r="I306" s="76"/>
      <c r="J306" s="61">
        <f t="shared" si="94"/>
        <v>-2641.6128200000003</v>
      </c>
      <c r="K306" s="76"/>
      <c r="M306" s="57">
        <f t="shared" si="92"/>
        <v>91856.009140000009</v>
      </c>
    </row>
    <row r="307" spans="1:14" hidden="1" x14ac:dyDescent="0.25">
      <c r="A307" s="58">
        <v>44196</v>
      </c>
      <c r="B307" s="76"/>
      <c r="C307" s="61">
        <f t="shared" ref="C307:H307" si="96">+C177*C241</f>
        <v>168125.72140000001</v>
      </c>
      <c r="D307" s="61">
        <f t="shared" si="96"/>
        <v>181.89490000000001</v>
      </c>
      <c r="E307" s="61">
        <f t="shared" si="96"/>
        <v>290925.57572000002</v>
      </c>
      <c r="F307" s="61">
        <f t="shared" si="96"/>
        <v>0</v>
      </c>
      <c r="G307" s="61">
        <f t="shared" si="96"/>
        <v>19219.111079999999</v>
      </c>
      <c r="H307" s="61">
        <f t="shared" si="96"/>
        <v>36675.766799999998</v>
      </c>
      <c r="I307" s="76"/>
      <c r="J307" s="61">
        <f t="shared" si="94"/>
        <v>-2931.1833100000003</v>
      </c>
      <c r="K307" s="76"/>
      <c r="M307" s="57">
        <f t="shared" si="92"/>
        <v>512196.88659000007</v>
      </c>
    </row>
    <row r="308" spans="1:14" hidden="1" x14ac:dyDescent="0.25">
      <c r="A308" s="58">
        <v>44227</v>
      </c>
      <c r="B308" s="76"/>
      <c r="C308" s="61">
        <f t="shared" ref="C308:H308" si="97">+C178*C242</f>
        <v>179136.22090000001</v>
      </c>
      <c r="D308" s="61">
        <f t="shared" si="97"/>
        <v>306.43316000000004</v>
      </c>
      <c r="E308" s="61">
        <f t="shared" si="97"/>
        <v>310198.66204000002</v>
      </c>
      <c r="F308" s="61">
        <f t="shared" si="97"/>
        <v>0</v>
      </c>
      <c r="G308" s="61">
        <f t="shared" si="97"/>
        <v>17917.6816</v>
      </c>
      <c r="H308" s="61">
        <f t="shared" si="97"/>
        <v>36087.778440000002</v>
      </c>
      <c r="I308" s="76"/>
      <c r="J308" s="61">
        <f t="shared" si="94"/>
        <v>-2981.2895200000003</v>
      </c>
      <c r="K308" s="76"/>
      <c r="M308" s="69">
        <f>SUM(B308:L308)-0.01</f>
        <v>540665.47662000009</v>
      </c>
    </row>
    <row r="309" spans="1:14" hidden="1" x14ac:dyDescent="0.25">
      <c r="A309" s="58">
        <v>44255</v>
      </c>
      <c r="B309" s="76"/>
      <c r="C309" s="61">
        <f t="shared" ref="C309:H309" si="98">+C179*C243</f>
        <v>169255.75940000001</v>
      </c>
      <c r="D309" s="61">
        <f t="shared" si="98"/>
        <v>182.32942</v>
      </c>
      <c r="E309" s="61">
        <f t="shared" si="98"/>
        <v>290893.51780000003</v>
      </c>
      <c r="F309" s="61">
        <f t="shared" si="98"/>
        <v>0</v>
      </c>
      <c r="G309" s="61">
        <f t="shared" si="98"/>
        <v>17374.304609999999</v>
      </c>
      <c r="H309" s="61">
        <f t="shared" si="98"/>
        <v>34080.276239999999</v>
      </c>
      <c r="I309" s="76"/>
      <c r="J309" s="61">
        <f t="shared" si="94"/>
        <v>-2875.8614500000003</v>
      </c>
      <c r="K309" s="76"/>
      <c r="M309" s="57">
        <f t="shared" si="92"/>
        <v>508910.32601999998</v>
      </c>
    </row>
    <row r="310" spans="1:14" hidden="1" x14ac:dyDescent="0.25">
      <c r="A310" s="58">
        <v>44286</v>
      </c>
      <c r="B310" s="76"/>
      <c r="C310" s="61">
        <f t="shared" ref="C310:H310" si="99">+C180*C244</f>
        <v>179058.47960000002</v>
      </c>
      <c r="D310" s="61">
        <f t="shared" si="99"/>
        <v>96.511720000000011</v>
      </c>
      <c r="E310" s="61">
        <f t="shared" si="99"/>
        <v>317658.04274</v>
      </c>
      <c r="F310" s="61">
        <f t="shared" si="99"/>
        <v>0</v>
      </c>
      <c r="G310" s="61">
        <f t="shared" si="99"/>
        <v>19310.1675</v>
      </c>
      <c r="H310" s="61">
        <f t="shared" si="99"/>
        <v>37025.312400000003</v>
      </c>
      <c r="I310" s="76"/>
      <c r="J310" s="61">
        <f t="shared" si="94"/>
        <v>-2812.6501700000003</v>
      </c>
      <c r="K310" s="76"/>
      <c r="M310" s="57">
        <f t="shared" si="92"/>
        <v>550335.86378999997</v>
      </c>
    </row>
    <row r="311" spans="1:14" hidden="1" x14ac:dyDescent="0.25">
      <c r="A311" s="58">
        <v>44316</v>
      </c>
      <c r="B311" s="76"/>
      <c r="C311" s="61">
        <f t="shared" ref="C311:H311" si="100">+C181*C245</f>
        <v>123466.82530000001</v>
      </c>
      <c r="D311" s="61">
        <f t="shared" si="100"/>
        <v>53.108000000000004</v>
      </c>
      <c r="E311" s="61">
        <f t="shared" si="100"/>
        <v>220979.17738000001</v>
      </c>
      <c r="F311" s="61">
        <f t="shared" si="100"/>
        <v>0</v>
      </c>
      <c r="G311" s="61">
        <f t="shared" si="100"/>
        <v>15118.695670000001</v>
      </c>
      <c r="H311" s="61">
        <f t="shared" si="100"/>
        <v>29781.09432</v>
      </c>
      <c r="I311" s="76"/>
      <c r="J311" s="61">
        <f t="shared" si="94"/>
        <v>-2165.1062400000001</v>
      </c>
      <c r="K311" s="76"/>
      <c r="M311" s="69">
        <f>SUM(B311:L311)+0.01</f>
        <v>387233.80443000002</v>
      </c>
    </row>
    <row r="312" spans="1:14" hidden="1" x14ac:dyDescent="0.25">
      <c r="A312" s="58">
        <v>44347</v>
      </c>
      <c r="B312" s="76"/>
      <c r="C312" s="61">
        <f t="shared" ref="C312:H312" si="101">+C182*C246</f>
        <v>60272.612400000005</v>
      </c>
      <c r="D312" s="61">
        <f t="shared" si="101"/>
        <v>86.952280000000002</v>
      </c>
      <c r="E312" s="61">
        <f t="shared" si="101"/>
        <v>119033.25370000002</v>
      </c>
      <c r="F312" s="61">
        <f t="shared" si="101"/>
        <v>0</v>
      </c>
      <c r="G312" s="61">
        <f t="shared" si="101"/>
        <v>9636.81862</v>
      </c>
      <c r="H312" s="61">
        <f t="shared" si="101"/>
        <v>17698.49352</v>
      </c>
      <c r="I312" s="76"/>
      <c r="J312" s="61">
        <f t="shared" si="94"/>
        <v>-1724.0301100000001</v>
      </c>
      <c r="K312" s="76"/>
      <c r="M312" s="57">
        <f t="shared" si="92"/>
        <v>205004.10041000001</v>
      </c>
    </row>
    <row r="313" spans="1:14" hidden="1" x14ac:dyDescent="0.25">
      <c r="A313" s="58">
        <v>44377</v>
      </c>
      <c r="B313" s="76"/>
      <c r="C313" s="61">
        <f t="shared" ref="C313:H313" si="102">+C183*C247</f>
        <v>47005.868000000002</v>
      </c>
      <c r="D313" s="61">
        <f t="shared" si="102"/>
        <v>36.499680000000005</v>
      </c>
      <c r="E313" s="61">
        <f t="shared" si="102"/>
        <v>96981.918920000011</v>
      </c>
      <c r="F313" s="61">
        <f t="shared" si="102"/>
        <v>0</v>
      </c>
      <c r="G313" s="61">
        <f t="shared" si="102"/>
        <v>8290.7961500000001</v>
      </c>
      <c r="H313" s="61">
        <f t="shared" si="102"/>
        <v>18285.089039999999</v>
      </c>
      <c r="I313" s="76"/>
      <c r="J313" s="61">
        <f t="shared" si="94"/>
        <v>-1253.0749000000001</v>
      </c>
      <c r="K313" s="76"/>
      <c r="M313" s="69">
        <f>SUM(B313:L313)+0.01</f>
        <v>169347.10689000002</v>
      </c>
    </row>
    <row r="314" spans="1:14" hidden="1" x14ac:dyDescent="0.25">
      <c r="A314" s="58">
        <v>44408</v>
      </c>
      <c r="B314" s="76"/>
      <c r="C314" s="61">
        <f t="shared" ref="C314:H314" si="103">+C184*C248</f>
        <v>27698.043100000003</v>
      </c>
      <c r="D314" s="61">
        <f t="shared" si="103"/>
        <v>29.040420000000001</v>
      </c>
      <c r="E314" s="61">
        <f t="shared" si="103"/>
        <v>65938.989360000007</v>
      </c>
      <c r="F314" s="61">
        <f t="shared" si="103"/>
        <v>0</v>
      </c>
      <c r="G314" s="61">
        <f t="shared" si="103"/>
        <v>7033.7329399999999</v>
      </c>
      <c r="H314" s="61">
        <f t="shared" si="103"/>
        <v>11321.366039999999</v>
      </c>
      <c r="I314" s="76"/>
      <c r="J314" s="61">
        <f t="shared" si="94"/>
        <v>-1064.8438900000001</v>
      </c>
      <c r="K314" s="76"/>
      <c r="M314" s="57">
        <f t="shared" si="92"/>
        <v>110956.32797</v>
      </c>
    </row>
    <row r="315" spans="1:14" hidden="1" x14ac:dyDescent="0.25">
      <c r="A315" s="58">
        <v>44439</v>
      </c>
      <c r="B315" s="76"/>
      <c r="C315" s="61">
        <f t="shared" ref="C315:H315" si="104">+C185*C249</f>
        <v>24193.842400000001</v>
      </c>
      <c r="D315" s="61">
        <f t="shared" si="104"/>
        <v>44.272760000000005</v>
      </c>
      <c r="E315" s="61">
        <f t="shared" si="104"/>
        <v>62110.095680000006</v>
      </c>
      <c r="F315" s="61">
        <f t="shared" si="104"/>
        <v>0</v>
      </c>
      <c r="G315" s="61">
        <f t="shared" si="104"/>
        <v>6597.3394500000004</v>
      </c>
      <c r="H315" s="61">
        <f t="shared" si="104"/>
        <v>11824.65828</v>
      </c>
      <c r="I315" s="76"/>
      <c r="J315" s="61">
        <f t="shared" si="94"/>
        <v>-1235.3656700000001</v>
      </c>
      <c r="K315" s="76"/>
      <c r="M315" s="57">
        <f t="shared" si="92"/>
        <v>103534.84290000002</v>
      </c>
    </row>
    <row r="316" spans="1:14" hidden="1" x14ac:dyDescent="0.25">
      <c r="A316" s="58">
        <v>44469</v>
      </c>
      <c r="B316" s="76"/>
      <c r="C316" s="61">
        <f t="shared" ref="C316:H316" si="105">+C186*C250</f>
        <v>27523.732600000003</v>
      </c>
      <c r="D316" s="61">
        <f t="shared" si="105"/>
        <v>53.470100000000002</v>
      </c>
      <c r="E316" s="61">
        <f t="shared" si="105"/>
        <v>67215.971220000007</v>
      </c>
      <c r="F316" s="61">
        <f t="shared" si="105"/>
        <v>0</v>
      </c>
      <c r="G316" s="61">
        <f t="shared" si="105"/>
        <v>8293.12003</v>
      </c>
      <c r="H316" s="61">
        <f t="shared" si="105"/>
        <v>11753.01288</v>
      </c>
      <c r="I316" s="76"/>
      <c r="J316" s="61">
        <f t="shared" si="94"/>
        <v>-1528.70102</v>
      </c>
      <c r="K316" s="76"/>
      <c r="M316" s="57">
        <f t="shared" si="92"/>
        <v>113310.60581000001</v>
      </c>
    </row>
    <row r="317" spans="1:14" hidden="1" x14ac:dyDescent="0.25">
      <c r="A317" s="58">
        <v>44500</v>
      </c>
      <c r="B317" s="76"/>
      <c r="C317" s="61">
        <f t="shared" ref="C317:H317" si="106">+C187*C251</f>
        <v>48254.770199999999</v>
      </c>
      <c r="D317" s="61">
        <f t="shared" si="106"/>
        <v>74.01324000000001</v>
      </c>
      <c r="E317" s="61">
        <f t="shared" si="106"/>
        <v>95808.449380000005</v>
      </c>
      <c r="F317" s="61">
        <f t="shared" si="106"/>
        <v>0</v>
      </c>
      <c r="G317" s="61">
        <f t="shared" si="106"/>
        <v>17279.26642</v>
      </c>
      <c r="H317" s="61">
        <f t="shared" si="106"/>
        <v>16487.333279999999</v>
      </c>
      <c r="I317" s="76"/>
      <c r="J317" s="61">
        <f t="shared" si="94"/>
        <v>-2257.5011800000002</v>
      </c>
      <c r="K317" s="76"/>
      <c r="M317" s="57">
        <f t="shared" si="92"/>
        <v>175646.33134</v>
      </c>
    </row>
    <row r="318" spans="1:14" x14ac:dyDescent="0.25">
      <c r="A318" s="58">
        <v>44530</v>
      </c>
      <c r="B318" s="76"/>
      <c r="C318" s="61">
        <f>ROUND(C188*C251,2)</f>
        <v>62563.88</v>
      </c>
      <c r="D318" s="61">
        <f t="shared" ref="D318:H318" si="107">ROUND(D188*D251,2)</f>
        <v>0</v>
      </c>
      <c r="E318" s="61">
        <f t="shared" si="107"/>
        <v>112218.82</v>
      </c>
      <c r="F318" s="61">
        <f t="shared" si="107"/>
        <v>0</v>
      </c>
      <c r="G318" s="61">
        <f t="shared" si="107"/>
        <v>9735.41</v>
      </c>
      <c r="H318" s="61">
        <f t="shared" si="107"/>
        <v>15806.16</v>
      </c>
      <c r="I318" s="76"/>
      <c r="J318" s="61">
        <f>ROUND(J188*J251,2)</f>
        <v>0</v>
      </c>
      <c r="K318" s="76"/>
      <c r="M318" s="69">
        <f>SUM(B318:L318)-0.01</f>
        <v>200324.26</v>
      </c>
      <c r="N318" s="57" t="s">
        <v>115</v>
      </c>
    </row>
    <row r="319" spans="1:14" x14ac:dyDescent="0.25">
      <c r="A319" s="58">
        <v>44530</v>
      </c>
      <c r="B319" s="76"/>
      <c r="C319" s="61">
        <f>ROUND(C189*C252,2)</f>
        <v>-32845.730000000003</v>
      </c>
      <c r="D319" s="61">
        <f t="shared" ref="D319:H319" si="108">ROUND(D189*D252,2)</f>
        <v>-16.12</v>
      </c>
      <c r="E319" s="61">
        <f t="shared" si="108"/>
        <v>-5853.48</v>
      </c>
      <c r="F319" s="61">
        <f t="shared" si="108"/>
        <v>0</v>
      </c>
      <c r="G319" s="61">
        <f t="shared" si="108"/>
        <v>-1757.84</v>
      </c>
      <c r="H319" s="61">
        <f t="shared" si="108"/>
        <v>22188.080000000002</v>
      </c>
      <c r="I319" s="76"/>
      <c r="J319" s="61">
        <f>ROUND(J189*J252,2)</f>
        <v>-607.34</v>
      </c>
      <c r="K319" s="76"/>
      <c r="M319" s="69">
        <f>SUM(B319:L319)+0.01</f>
        <v>-18892.419999999998</v>
      </c>
      <c r="N319" s="57" t="s">
        <v>116</v>
      </c>
    </row>
    <row r="320" spans="1:14" x14ac:dyDescent="0.25">
      <c r="A320" s="58">
        <v>44561</v>
      </c>
      <c r="B320" s="76"/>
      <c r="C320" s="61">
        <f>ROUND(C190*C253,2)</f>
        <v>-176297.66</v>
      </c>
      <c r="D320" s="61">
        <f t="shared" ref="D320:H320" si="109">ROUND(D190*D253,2)</f>
        <v>-44.76</v>
      </c>
      <c r="E320" s="61">
        <f t="shared" si="109"/>
        <v>-34355.08</v>
      </c>
      <c r="F320" s="61">
        <f t="shared" si="109"/>
        <v>0</v>
      </c>
      <c r="G320" s="61">
        <f t="shared" si="109"/>
        <v>-9974.23</v>
      </c>
      <c r="H320" s="61">
        <f t="shared" si="109"/>
        <v>91807.66</v>
      </c>
      <c r="I320" s="76"/>
      <c r="J320" s="61">
        <f>ROUND(J190*J253,2)</f>
        <v>-764.76</v>
      </c>
      <c r="K320" s="76"/>
      <c r="M320" s="57">
        <f t="shared" si="92"/>
        <v>-129628.83</v>
      </c>
    </row>
    <row r="321" spans="1:13" x14ac:dyDescent="0.25">
      <c r="A321" s="58">
        <v>44592</v>
      </c>
      <c r="B321" s="76"/>
      <c r="C321" s="61">
        <f t="shared" ref="C321:H321" si="110">ROUND(C191*C254,2)</f>
        <v>-276686.11</v>
      </c>
      <c r="D321" s="61">
        <f t="shared" si="110"/>
        <v>-40.549999999999997</v>
      </c>
      <c r="E321" s="61">
        <f t="shared" si="110"/>
        <v>-55600.32</v>
      </c>
      <c r="F321" s="61">
        <f t="shared" si="110"/>
        <v>0</v>
      </c>
      <c r="G321" s="61">
        <f t="shared" si="110"/>
        <v>-12389.88</v>
      </c>
      <c r="H321" s="61">
        <f t="shared" si="110"/>
        <v>131209.60000000001</v>
      </c>
      <c r="I321" s="76"/>
      <c r="J321" s="61">
        <f t="shared" ref="J321:J330" si="111">ROUND(J191*J254,2)</f>
        <v>-725.49</v>
      </c>
      <c r="K321" s="76"/>
      <c r="M321" s="69">
        <f>SUM(B321:L321)+0.01</f>
        <v>-214232.73999999996</v>
      </c>
    </row>
    <row r="322" spans="1:13" x14ac:dyDescent="0.25">
      <c r="A322" s="58">
        <v>44620</v>
      </c>
      <c r="B322" s="76"/>
      <c r="C322" s="61">
        <f t="shared" ref="C322:H322" si="112">ROUND(C192*C255,2)</f>
        <v>-209950.43</v>
      </c>
      <c r="D322" s="61">
        <f t="shared" si="112"/>
        <v>-21.19</v>
      </c>
      <c r="E322" s="61">
        <f t="shared" si="112"/>
        <v>-44203.040000000001</v>
      </c>
      <c r="F322" s="61">
        <f t="shared" si="112"/>
        <v>0</v>
      </c>
      <c r="G322" s="61">
        <f t="shared" si="112"/>
        <v>-9924.84</v>
      </c>
      <c r="H322" s="61">
        <f t="shared" si="112"/>
        <v>98074.28</v>
      </c>
      <c r="I322" s="76"/>
      <c r="J322" s="61">
        <f t="shared" si="111"/>
        <v>-641.66</v>
      </c>
      <c r="K322" s="76"/>
      <c r="M322" s="57">
        <f t="shared" si="92"/>
        <v>-166666.88</v>
      </c>
    </row>
    <row r="323" spans="1:13" x14ac:dyDescent="0.25">
      <c r="A323" s="58">
        <v>44651</v>
      </c>
      <c r="B323" s="76"/>
      <c r="C323" s="61">
        <f t="shared" ref="C323:H323" si="113">ROUND(C193*C256,2)</f>
        <v>-202778.41</v>
      </c>
      <c r="D323" s="61">
        <f t="shared" si="113"/>
        <v>-18.079999999999998</v>
      </c>
      <c r="E323" s="61">
        <f t="shared" si="113"/>
        <v>-42599.03</v>
      </c>
      <c r="F323" s="61">
        <f t="shared" si="113"/>
        <v>0</v>
      </c>
      <c r="G323" s="61">
        <f t="shared" si="113"/>
        <v>-11231.35</v>
      </c>
      <c r="H323" s="61">
        <f t="shared" si="113"/>
        <v>102009.14</v>
      </c>
      <c r="I323" s="76"/>
      <c r="J323" s="61">
        <f t="shared" si="111"/>
        <v>-623.03</v>
      </c>
      <c r="K323" s="76"/>
      <c r="M323" s="57">
        <f t="shared" si="92"/>
        <v>-155240.75999999998</v>
      </c>
    </row>
    <row r="324" spans="1:13" x14ac:dyDescent="0.25">
      <c r="A324" s="58">
        <v>44681</v>
      </c>
      <c r="B324" s="76"/>
      <c r="C324" s="61">
        <f t="shared" ref="C324:H324" si="114">ROUND(C194*C257,2)</f>
        <v>-133675.18</v>
      </c>
      <c r="D324" s="61">
        <f t="shared" si="114"/>
        <v>-34.97</v>
      </c>
      <c r="E324" s="61">
        <f t="shared" si="114"/>
        <v>-27576.560000000001</v>
      </c>
      <c r="F324" s="61">
        <f t="shared" si="114"/>
        <v>0</v>
      </c>
      <c r="G324" s="61">
        <f t="shared" si="114"/>
        <v>-7532.88</v>
      </c>
      <c r="H324" s="61">
        <f t="shared" si="114"/>
        <v>73223.009999999995</v>
      </c>
      <c r="I324" s="76"/>
      <c r="J324" s="61">
        <f t="shared" si="111"/>
        <v>-596.94000000000005</v>
      </c>
      <c r="K324" s="76"/>
      <c r="M324" s="69">
        <f>SUM(B324:L324)+0.03</f>
        <v>-96193.49</v>
      </c>
    </row>
    <row r="325" spans="1:13" x14ac:dyDescent="0.25">
      <c r="A325" s="58">
        <v>44712</v>
      </c>
      <c r="B325" s="76"/>
      <c r="C325" s="61">
        <f t="shared" ref="C325:H325" si="115">ROUND(C195*C258,2)</f>
        <v>-112833.11</v>
      </c>
      <c r="D325" s="61">
        <f t="shared" si="115"/>
        <v>-18.77</v>
      </c>
      <c r="E325" s="61">
        <f t="shared" si="115"/>
        <v>-24157.27</v>
      </c>
      <c r="F325" s="61">
        <f t="shared" si="115"/>
        <v>0</v>
      </c>
      <c r="G325" s="61">
        <f t="shared" si="115"/>
        <v>-7335.12</v>
      </c>
      <c r="H325" s="61">
        <f t="shared" si="115"/>
        <v>63982.07</v>
      </c>
      <c r="I325" s="76"/>
      <c r="J325" s="61">
        <f t="shared" si="111"/>
        <v>-507.15</v>
      </c>
      <c r="K325" s="76"/>
      <c r="M325" s="69">
        <f>SUM(B325:L325)-0.01</f>
        <v>-80869.359999999971</v>
      </c>
    </row>
    <row r="326" spans="1:13" x14ac:dyDescent="0.25">
      <c r="A326" s="58">
        <v>44742</v>
      </c>
      <c r="B326" s="76"/>
      <c r="C326" s="61">
        <f t="shared" ref="C326:H326" si="116">ROUND(C196*C259,2)</f>
        <v>-68041.87</v>
      </c>
      <c r="D326" s="61">
        <f t="shared" si="116"/>
        <v>-8.32</v>
      </c>
      <c r="E326" s="61">
        <f t="shared" si="116"/>
        <v>-15811.46</v>
      </c>
      <c r="F326" s="61">
        <f t="shared" si="116"/>
        <v>0</v>
      </c>
      <c r="G326" s="61">
        <f t="shared" si="116"/>
        <v>-5504.17</v>
      </c>
      <c r="H326" s="61">
        <f t="shared" si="116"/>
        <v>52628.89</v>
      </c>
      <c r="I326" s="76"/>
      <c r="J326" s="61">
        <f t="shared" si="111"/>
        <v>-324.62</v>
      </c>
      <c r="K326" s="76"/>
      <c r="M326" s="69">
        <f>SUM(B326:L326)-0.01</f>
        <v>-37061.56</v>
      </c>
    </row>
    <row r="327" spans="1:13" x14ac:dyDescent="0.25">
      <c r="A327" s="58">
        <v>44773</v>
      </c>
      <c r="B327" s="76"/>
      <c r="C327" s="61">
        <f t="shared" ref="C327:H327" si="117">ROUND(C197*C260,2)</f>
        <v>0</v>
      </c>
      <c r="D327" s="61">
        <f t="shared" si="117"/>
        <v>8.32</v>
      </c>
      <c r="E327" s="61">
        <f t="shared" si="117"/>
        <v>0</v>
      </c>
      <c r="F327" s="61">
        <f t="shared" si="117"/>
        <v>0</v>
      </c>
      <c r="G327" s="61">
        <f t="shared" si="117"/>
        <v>0</v>
      </c>
      <c r="H327" s="61">
        <f t="shared" si="117"/>
        <v>-580.77</v>
      </c>
      <c r="I327" s="76"/>
      <c r="J327" s="61">
        <f t="shared" si="111"/>
        <v>324.62</v>
      </c>
      <c r="K327" s="76"/>
      <c r="M327" s="57">
        <f t="shared" si="92"/>
        <v>-247.82999999999993</v>
      </c>
    </row>
    <row r="328" spans="1:13" x14ac:dyDescent="0.25">
      <c r="A328" s="58">
        <v>44804</v>
      </c>
      <c r="B328" s="76"/>
      <c r="C328" s="61">
        <f t="shared" ref="C328:H328" si="118">ROUND(C198*C261,2)</f>
        <v>0</v>
      </c>
      <c r="D328" s="61">
        <f t="shared" si="118"/>
        <v>0</v>
      </c>
      <c r="E328" s="61">
        <f t="shared" si="118"/>
        <v>0</v>
      </c>
      <c r="F328" s="61">
        <f t="shared" si="118"/>
        <v>0</v>
      </c>
      <c r="G328" s="61">
        <f t="shared" si="118"/>
        <v>0</v>
      </c>
      <c r="H328" s="61">
        <f t="shared" si="118"/>
        <v>0</v>
      </c>
      <c r="I328" s="76"/>
      <c r="J328" s="61">
        <f t="shared" si="111"/>
        <v>0</v>
      </c>
      <c r="K328" s="76"/>
      <c r="M328" s="57">
        <f t="shared" si="92"/>
        <v>0</v>
      </c>
    </row>
    <row r="329" spans="1:13" x14ac:dyDescent="0.25">
      <c r="A329" s="58">
        <v>44834</v>
      </c>
      <c r="B329" s="76"/>
      <c r="C329" s="61">
        <f t="shared" ref="C329:H329" si="119">ROUND(C199*C262,2)</f>
        <v>0</v>
      </c>
      <c r="D329" s="61">
        <f t="shared" si="119"/>
        <v>0</v>
      </c>
      <c r="E329" s="61">
        <f t="shared" si="119"/>
        <v>0</v>
      </c>
      <c r="F329" s="61">
        <f t="shared" si="119"/>
        <v>0</v>
      </c>
      <c r="G329" s="61">
        <f t="shared" si="119"/>
        <v>0</v>
      </c>
      <c r="H329" s="61">
        <f t="shared" si="119"/>
        <v>0</v>
      </c>
      <c r="I329" s="76"/>
      <c r="J329" s="61">
        <f t="shared" si="111"/>
        <v>0</v>
      </c>
      <c r="K329" s="76"/>
      <c r="M329" s="57">
        <f t="shared" si="92"/>
        <v>0</v>
      </c>
    </row>
    <row r="330" spans="1:13" x14ac:dyDescent="0.25">
      <c r="A330" s="58">
        <v>44865</v>
      </c>
      <c r="B330" s="76"/>
      <c r="C330" s="61">
        <f t="shared" ref="C330:H330" si="120">ROUND(C200*C263,2)</f>
        <v>0</v>
      </c>
      <c r="D330" s="61">
        <f t="shared" si="120"/>
        <v>0</v>
      </c>
      <c r="E330" s="61">
        <f t="shared" si="120"/>
        <v>0</v>
      </c>
      <c r="F330" s="61">
        <f t="shared" si="120"/>
        <v>0</v>
      </c>
      <c r="G330" s="61">
        <f t="shared" si="120"/>
        <v>0</v>
      </c>
      <c r="H330" s="61">
        <f t="shared" si="120"/>
        <v>0</v>
      </c>
      <c r="I330" s="76"/>
      <c r="J330" s="61">
        <f t="shared" si="111"/>
        <v>0</v>
      </c>
      <c r="K330" s="76"/>
      <c r="M330" s="57">
        <f t="shared" si="92"/>
        <v>0</v>
      </c>
    </row>
  </sheetData>
  <mergeCells count="5">
    <mergeCell ref="B202:K202"/>
    <mergeCell ref="B265:K265"/>
    <mergeCell ref="B2:K2"/>
    <mergeCell ref="B70:K70"/>
    <mergeCell ref="B134:K134"/>
  </mergeCells>
  <printOptions horizontalCentered="1"/>
  <pageMargins left="0.25" right="0.25" top="0.75" bottom="0.75" header="0.3" footer="0.3"/>
  <pageSetup scale="61" orientation="portrait" r:id="rId1"/>
  <headerFooter>
    <oddFooter xml:space="preserve">&amp;CTherm Sales by Rate Schedule
</oddFooter>
  </headerFooter>
  <ignoredErrors>
    <ignoredError sqref="M56:M68 M109:M132 M188:M20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3"/>
  <sheetViews>
    <sheetView view="pageBreakPreview" zoomScale="75" zoomScaleNormal="75" zoomScaleSheetLayoutView="75" workbookViewId="0">
      <pane xSplit="1" ySplit="10" topLeftCell="C11" activePane="bottomRight" state="frozen"/>
      <selection activeCell="H129" sqref="H129"/>
      <selection pane="topRight" activeCell="H129" sqref="H129"/>
      <selection pane="bottomLeft" activeCell="H129" sqref="H129"/>
      <selection pane="bottomRight" activeCell="H123" sqref="H123"/>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16384" width="8.88671875" style="1"/>
  </cols>
  <sheetData>
    <row r="1" spans="1:8" x14ac:dyDescent="0.2">
      <c r="A1" s="548" t="s">
        <v>13</v>
      </c>
      <c r="B1" s="549"/>
      <c r="C1" s="546" t="s">
        <v>14</v>
      </c>
      <c r="D1" s="546"/>
      <c r="E1" s="546"/>
      <c r="F1" s="546"/>
      <c r="G1" s="546"/>
      <c r="H1" s="547"/>
    </row>
    <row r="2" spans="1:8" x14ac:dyDescent="0.2">
      <c r="A2" s="541" t="s">
        <v>16</v>
      </c>
      <c r="B2" s="533"/>
      <c r="C2" s="550" t="s">
        <v>41</v>
      </c>
      <c r="D2" s="550"/>
      <c r="E2" s="550"/>
      <c r="F2" s="550"/>
      <c r="G2" s="550"/>
      <c r="H2" s="551"/>
    </row>
    <row r="3" spans="1:8" x14ac:dyDescent="0.2">
      <c r="A3" s="541" t="s">
        <v>17</v>
      </c>
      <c r="B3" s="533"/>
      <c r="C3" s="534" t="s">
        <v>183</v>
      </c>
      <c r="D3" s="534"/>
      <c r="E3" s="534"/>
      <c r="F3" s="534"/>
      <c r="G3" s="534"/>
      <c r="H3" s="538"/>
    </row>
    <row r="4" spans="1:8" x14ac:dyDescent="0.2">
      <c r="A4" s="541" t="s">
        <v>18</v>
      </c>
      <c r="B4" s="533"/>
      <c r="C4" s="534" t="s">
        <v>19</v>
      </c>
      <c r="D4" s="534"/>
      <c r="E4" s="534"/>
      <c r="F4" s="534"/>
      <c r="G4" s="534"/>
      <c r="H4" s="538"/>
    </row>
    <row r="5" spans="1:8" x14ac:dyDescent="0.2">
      <c r="A5" s="541" t="s">
        <v>20</v>
      </c>
      <c r="B5" s="533"/>
      <c r="C5" s="534" t="s">
        <v>180</v>
      </c>
      <c r="D5" s="534"/>
      <c r="E5" s="534"/>
      <c r="F5" s="534"/>
      <c r="G5" s="534"/>
      <c r="H5" s="538"/>
    </row>
    <row r="6" spans="1:8" x14ac:dyDescent="0.2">
      <c r="A6" s="541" t="s">
        <v>21</v>
      </c>
      <c r="B6" s="533"/>
      <c r="C6" s="534" t="s">
        <v>30</v>
      </c>
      <c r="D6" s="534"/>
      <c r="E6" s="534"/>
      <c r="F6" s="534"/>
      <c r="G6" s="534"/>
      <c r="H6" s="538"/>
    </row>
    <row r="7" spans="1:8" s="17" customFormat="1" ht="54.75" customHeight="1" thickBot="1" x14ac:dyDescent="0.25">
      <c r="A7" s="542" t="s">
        <v>22</v>
      </c>
      <c r="B7" s="543"/>
      <c r="C7" s="544" t="s">
        <v>43</v>
      </c>
      <c r="D7" s="544"/>
      <c r="E7" s="544"/>
      <c r="F7" s="544"/>
      <c r="G7" s="544"/>
      <c r="H7" s="545"/>
    </row>
    <row r="8" spans="1:8" x14ac:dyDescent="0.2">
      <c r="A8" s="2"/>
      <c r="B8" s="2"/>
      <c r="C8" s="3"/>
      <c r="D8" s="3"/>
      <c r="E8" s="3"/>
      <c r="F8" s="3"/>
      <c r="G8" s="3"/>
      <c r="H8" s="3"/>
    </row>
    <row r="9" spans="1:8" x14ac:dyDescent="0.2">
      <c r="A9" s="4"/>
      <c r="D9" s="529" t="s">
        <v>38</v>
      </c>
      <c r="E9" s="529"/>
      <c r="F9" s="529"/>
    </row>
    <row r="10" spans="1:8" s="5" customFormat="1" x14ac:dyDescent="0.2">
      <c r="A10" s="5" t="s">
        <v>39</v>
      </c>
      <c r="B10" s="5" t="s">
        <v>4</v>
      </c>
      <c r="C10" s="5" t="s">
        <v>12</v>
      </c>
      <c r="D10" s="5" t="s">
        <v>23</v>
      </c>
      <c r="E10" s="5" t="s">
        <v>24</v>
      </c>
      <c r="F10" s="5" t="s">
        <v>2</v>
      </c>
      <c r="G10" s="5" t="s">
        <v>0</v>
      </c>
      <c r="H10" s="5" t="s">
        <v>1</v>
      </c>
    </row>
    <row r="11" spans="1:8" hidden="1" x14ac:dyDescent="0.2">
      <c r="A11" s="527" t="s">
        <v>80</v>
      </c>
      <c r="B11" s="527"/>
      <c r="C11" s="527"/>
      <c r="D11" s="527"/>
      <c r="E11" s="527"/>
      <c r="F11" s="527"/>
      <c r="G11" s="527"/>
      <c r="H11" s="1">
        <v>5300789.51</v>
      </c>
    </row>
    <row r="12" spans="1:8" hidden="1" x14ac:dyDescent="0.2">
      <c r="A12" s="6">
        <f>'FERC Interest Rates'!A20</f>
        <v>41608</v>
      </c>
      <c r="D12" s="1">
        <f>-235790-543534.68</f>
        <v>-779324.68</v>
      </c>
      <c r="F12" s="1">
        <f t="shared" ref="F12:F13" si="0">ROUND(H11*VLOOKUP(A12,FERCINT13,2)/365*VLOOKUP(A12,FERCINT13,3),2)</f>
        <v>14159.64</v>
      </c>
      <c r="H12" s="1">
        <f t="shared" ref="H12:H75" si="1">H11+SUM(D12:G12)</f>
        <v>4535624.47</v>
      </c>
    </row>
    <row r="13" spans="1:8" hidden="1" x14ac:dyDescent="0.2">
      <c r="A13" s="6">
        <f>'FERC Interest Rates'!A21</f>
        <v>41639</v>
      </c>
      <c r="D13" s="1">
        <f>-2151664.93-235790</f>
        <v>-2387454.9300000002</v>
      </c>
      <c r="F13" s="1">
        <f t="shared" si="0"/>
        <v>12519.57</v>
      </c>
      <c r="H13" s="1">
        <f t="shared" si="1"/>
        <v>2160689.1099999994</v>
      </c>
    </row>
    <row r="14" spans="1:8" hidden="1" x14ac:dyDescent="0.2">
      <c r="A14" s="6">
        <f>'FERC Interest Rates'!A22</f>
        <v>41670</v>
      </c>
      <c r="D14" s="1">
        <f>-1890171.1-235790</f>
        <v>-2125961.1</v>
      </c>
      <c r="F14" s="1">
        <f t="shared" ref="F14:F26" si="2">ROUND(H13*VLOOKUP(A14,FERCINT14,2)/365*VLOOKUP(A14,FERCINT14,3),2)</f>
        <v>5964.09</v>
      </c>
      <c r="H14" s="1">
        <f t="shared" si="1"/>
        <v>40692.099999999162</v>
      </c>
    </row>
    <row r="15" spans="1:8" hidden="1" x14ac:dyDescent="0.2">
      <c r="A15" s="6">
        <f>'FERC Interest Rates'!A23</f>
        <v>41698</v>
      </c>
      <c r="D15" s="1">
        <f>-1628431.9-235790</f>
        <v>-1864221.9</v>
      </c>
      <c r="F15" s="1">
        <f t="shared" si="2"/>
        <v>101.45</v>
      </c>
      <c r="H15" s="1">
        <f t="shared" si="1"/>
        <v>-1823428.3500000008</v>
      </c>
    </row>
    <row r="16" spans="1:8" hidden="1" x14ac:dyDescent="0.2">
      <c r="A16" s="6">
        <f>'FERC Interest Rates'!A24</f>
        <v>41729</v>
      </c>
      <c r="D16" s="1">
        <v>128015.9</v>
      </c>
      <c r="F16" s="1">
        <f t="shared" si="2"/>
        <v>-5033.16</v>
      </c>
      <c r="H16" s="1">
        <f t="shared" si="1"/>
        <v>-1700445.6100000008</v>
      </c>
    </row>
    <row r="17" spans="1:8" hidden="1" x14ac:dyDescent="0.2">
      <c r="A17" s="6">
        <f>'FERC Interest Rates'!A25</f>
        <v>41759</v>
      </c>
      <c r="D17" s="1">
        <f>1545767.97-235790</f>
        <v>1309977.97</v>
      </c>
      <c r="F17" s="1">
        <f t="shared" si="2"/>
        <v>-4542.29</v>
      </c>
      <c r="H17" s="1">
        <f t="shared" si="1"/>
        <v>-395009.93000000087</v>
      </c>
    </row>
    <row r="18" spans="1:8" hidden="1" x14ac:dyDescent="0.2">
      <c r="A18" s="6">
        <f>'FERC Interest Rates'!A26</f>
        <v>41790</v>
      </c>
      <c r="D18" s="1">
        <f>2390005.33-235790</f>
        <v>2154215.33</v>
      </c>
      <c r="F18" s="1">
        <f t="shared" si="2"/>
        <v>-1090.3399999999999</v>
      </c>
      <c r="H18" s="1">
        <f t="shared" si="1"/>
        <v>1758115.0599999994</v>
      </c>
    </row>
    <row r="19" spans="1:8" hidden="1" x14ac:dyDescent="0.2">
      <c r="A19" s="6">
        <f>'FERC Interest Rates'!A27</f>
        <v>41820</v>
      </c>
      <c r="D19" s="1">
        <f>2129580.54-235790</f>
        <v>1893790.54</v>
      </c>
      <c r="F19" s="1">
        <f t="shared" si="2"/>
        <v>4696.33</v>
      </c>
      <c r="H19" s="1">
        <f t="shared" si="1"/>
        <v>3656601.9299999997</v>
      </c>
    </row>
    <row r="20" spans="1:8" hidden="1" x14ac:dyDescent="0.2">
      <c r="A20" s="6">
        <f>'FERC Interest Rates'!A28</f>
        <v>41851</v>
      </c>
      <c r="D20" s="1">
        <f>2343224.81-235790</f>
        <v>2107434.81</v>
      </c>
      <c r="F20" s="1">
        <f t="shared" si="2"/>
        <v>10093.219999999999</v>
      </c>
      <c r="H20" s="1">
        <f t="shared" si="1"/>
        <v>5774129.96</v>
      </c>
    </row>
    <row r="21" spans="1:8" hidden="1" x14ac:dyDescent="0.2">
      <c r="A21" s="6">
        <f>'FERC Interest Rates'!A29</f>
        <v>41882</v>
      </c>
      <c r="D21" s="1">
        <f>2806868.63-235790</f>
        <v>2571078.63</v>
      </c>
      <c r="F21" s="1">
        <f t="shared" si="2"/>
        <v>15938.18</v>
      </c>
      <c r="H21" s="1">
        <f t="shared" si="1"/>
        <v>8361146.7699999996</v>
      </c>
    </row>
    <row r="22" spans="1:8" hidden="1" x14ac:dyDescent="0.2">
      <c r="A22" s="6">
        <f>'FERC Interest Rates'!A30</f>
        <v>41912</v>
      </c>
      <c r="D22" s="1">
        <f>2483434.98-235790</f>
        <v>2247644.98</v>
      </c>
      <c r="F22" s="1">
        <f t="shared" si="2"/>
        <v>22334.57</v>
      </c>
      <c r="H22" s="1">
        <f t="shared" si="1"/>
        <v>10631126.32</v>
      </c>
    </row>
    <row r="23" spans="1:8" hidden="1" x14ac:dyDescent="0.2">
      <c r="A23" s="6">
        <f>'FERC Interest Rates'!A31</f>
        <v>41943</v>
      </c>
      <c r="D23" s="1">
        <f>2177304.09-235790</f>
        <v>1941514.0899999999</v>
      </c>
      <c r="F23" s="1">
        <f t="shared" si="2"/>
        <v>29344.82</v>
      </c>
      <c r="H23" s="1">
        <f t="shared" si="1"/>
        <v>12601985.23</v>
      </c>
    </row>
    <row r="24" spans="1:8" hidden="1" x14ac:dyDescent="0.2">
      <c r="A24" s="528" t="s">
        <v>76</v>
      </c>
      <c r="B24" s="528"/>
      <c r="C24" s="528"/>
      <c r="D24" s="528"/>
      <c r="E24" s="528"/>
      <c r="F24" s="528"/>
      <c r="G24" s="1">
        <v>-5821559.6299999999</v>
      </c>
      <c r="H24" s="1">
        <f t="shared" si="1"/>
        <v>6780425.6000000006</v>
      </c>
    </row>
    <row r="25" spans="1:8" hidden="1" x14ac:dyDescent="0.2">
      <c r="A25" s="6">
        <f>'FERC Interest Rates'!A32</f>
        <v>41973</v>
      </c>
      <c r="D25" s="1">
        <v>-2042189.49</v>
      </c>
      <c r="F25" s="1">
        <f t="shared" si="2"/>
        <v>18112.099999999999</v>
      </c>
      <c r="H25" s="1">
        <f t="shared" si="1"/>
        <v>4756348.2100000009</v>
      </c>
    </row>
    <row r="26" spans="1:8" hidden="1" x14ac:dyDescent="0.2">
      <c r="A26" s="6">
        <f>'FERC Interest Rates'!A33</f>
        <v>42004</v>
      </c>
      <c r="D26" s="1">
        <f>-1692473.19-235790</f>
        <v>-1928263.19</v>
      </c>
      <c r="F26" s="1">
        <f t="shared" si="2"/>
        <v>13128.82</v>
      </c>
      <c r="H26" s="1">
        <f t="shared" si="1"/>
        <v>2841213.8400000008</v>
      </c>
    </row>
    <row r="27" spans="1:8" hidden="1" x14ac:dyDescent="0.2">
      <c r="A27" s="6">
        <f>'FERC Interest Rates'!A34</f>
        <v>42035</v>
      </c>
      <c r="D27" s="1">
        <f>-235790-2244525.95</f>
        <v>-2480315.9500000002</v>
      </c>
      <c r="F27" s="1">
        <f t="shared" ref="F27:F34" si="3">ROUND(H26*VLOOKUP(A27,FERCINT15,2)/365*VLOOKUP(A27,FERCINT15,3),2)</f>
        <v>7842.53</v>
      </c>
      <c r="H27" s="1">
        <f t="shared" si="1"/>
        <v>368740.42000000039</v>
      </c>
    </row>
    <row r="28" spans="1:8" hidden="1" x14ac:dyDescent="0.2">
      <c r="A28" s="6">
        <f>'FERC Interest Rates'!A35</f>
        <v>42063</v>
      </c>
      <c r="D28" s="1">
        <f>-235790-439032.16</f>
        <v>-674822.15999999992</v>
      </c>
      <c r="F28" s="1">
        <f t="shared" si="3"/>
        <v>919.33</v>
      </c>
      <c r="H28" s="1">
        <f t="shared" si="1"/>
        <v>-305162.40999999957</v>
      </c>
    </row>
    <row r="29" spans="1:8" hidden="1" x14ac:dyDescent="0.2">
      <c r="A29" s="6">
        <f>'FERC Interest Rates'!A36</f>
        <v>42094</v>
      </c>
      <c r="D29" s="1">
        <f>624226.35-235790</f>
        <v>388436.35</v>
      </c>
      <c r="F29" s="1">
        <f t="shared" si="3"/>
        <v>-842.33</v>
      </c>
      <c r="H29" s="1">
        <f t="shared" si="1"/>
        <v>82431.610000000393</v>
      </c>
    </row>
    <row r="30" spans="1:8" hidden="1" x14ac:dyDescent="0.2">
      <c r="A30" s="6">
        <f>'FERC Interest Rates'!A37</f>
        <v>42124</v>
      </c>
      <c r="D30" s="1">
        <v>577862.52</v>
      </c>
      <c r="F30" s="1">
        <f t="shared" si="3"/>
        <v>220.19</v>
      </c>
      <c r="H30" s="1">
        <f t="shared" si="1"/>
        <v>660514.3200000003</v>
      </c>
    </row>
    <row r="31" spans="1:8" hidden="1" x14ac:dyDescent="0.2">
      <c r="A31" s="6">
        <f>'FERC Interest Rates'!A38</f>
        <v>42155</v>
      </c>
      <c r="D31" s="1">
        <f>-235790+2154521.16</f>
        <v>1918731.1600000001</v>
      </c>
      <c r="F31" s="1">
        <f t="shared" si="3"/>
        <v>1823.2</v>
      </c>
      <c r="H31" s="1">
        <f t="shared" si="1"/>
        <v>2581068.6800000006</v>
      </c>
    </row>
    <row r="32" spans="1:8" hidden="1" x14ac:dyDescent="0.2">
      <c r="A32" s="6">
        <f>'FERC Interest Rates'!A39</f>
        <v>42185</v>
      </c>
      <c r="D32" s="1">
        <f>-235790+3002370.29</f>
        <v>2766580.29</v>
      </c>
      <c r="F32" s="1">
        <f t="shared" si="3"/>
        <v>6894.64</v>
      </c>
      <c r="H32" s="1">
        <f t="shared" si="1"/>
        <v>5354543.6100000013</v>
      </c>
    </row>
    <row r="33" spans="1:8" hidden="1" x14ac:dyDescent="0.2">
      <c r="A33" s="6">
        <f>'FERC Interest Rates'!A40</f>
        <v>42216</v>
      </c>
      <c r="D33" s="1">
        <f>-235790+2635153.59</f>
        <v>2399363.59</v>
      </c>
      <c r="F33" s="1">
        <f t="shared" si="3"/>
        <v>14780.01</v>
      </c>
      <c r="H33" s="1">
        <f t="shared" si="1"/>
        <v>7768687.2100000009</v>
      </c>
    </row>
    <row r="34" spans="1:8" hidden="1" x14ac:dyDescent="0.2">
      <c r="A34" s="6">
        <f>'FERC Interest Rates'!A41</f>
        <v>42247</v>
      </c>
      <c r="D34" s="1">
        <f>-235790+3068421.49</f>
        <v>2832631.49</v>
      </c>
      <c r="F34" s="1">
        <f t="shared" si="3"/>
        <v>21443.71</v>
      </c>
      <c r="H34" s="1">
        <f t="shared" si="1"/>
        <v>10622762.41</v>
      </c>
    </row>
    <row r="35" spans="1:8" hidden="1" x14ac:dyDescent="0.2">
      <c r="A35" s="528" t="s">
        <v>86</v>
      </c>
      <c r="B35" s="528"/>
      <c r="C35" s="528"/>
      <c r="D35" s="528"/>
      <c r="E35" s="528"/>
      <c r="F35" s="528"/>
      <c r="G35" s="1">
        <v>-5384144.4199999999</v>
      </c>
      <c r="H35" s="1">
        <f t="shared" si="1"/>
        <v>5238617.99</v>
      </c>
    </row>
    <row r="36" spans="1:8" hidden="1" x14ac:dyDescent="0.2">
      <c r="A36" s="6">
        <f>'FERC Interest Rates'!A42</f>
        <v>42277</v>
      </c>
      <c r="D36" s="1">
        <f>-235790+2279842.94</f>
        <v>2044052.94</v>
      </c>
      <c r="F36" s="1">
        <f>ROUND(H35*VLOOKUP(A36,FERCINT15,2)/365*VLOOKUP(A36,FERCINT15,3),2)</f>
        <v>13993.57</v>
      </c>
      <c r="H36" s="1">
        <f t="shared" si="1"/>
        <v>7296664.5</v>
      </c>
    </row>
    <row r="37" spans="1:8" hidden="1" x14ac:dyDescent="0.2">
      <c r="A37" s="6">
        <f>'FERC Interest Rates'!A43</f>
        <v>42308</v>
      </c>
      <c r="D37" s="1">
        <f>-235790+1685153.23</f>
        <v>1449363.23</v>
      </c>
      <c r="F37" s="1">
        <f>ROUND(H36*VLOOKUP(A37,FERCINT15,2)/365*VLOOKUP(A37,FERCINT15,3),2)</f>
        <v>20140.79</v>
      </c>
      <c r="H37" s="1">
        <f t="shared" si="1"/>
        <v>8766168.5199999996</v>
      </c>
    </row>
    <row r="38" spans="1:8" hidden="1" x14ac:dyDescent="0.2">
      <c r="A38" s="6">
        <f>'FERC Interest Rates'!A44</f>
        <v>42338</v>
      </c>
      <c r="D38" s="1">
        <f>-235790-1154654.65</f>
        <v>-1390444.65</v>
      </c>
      <c r="F38" s="1">
        <f>ROUND(H37*VLOOKUP(A38,FERCINT15,2)/365*VLOOKUP(A38,FERCINT15,3),2)</f>
        <v>23416.48</v>
      </c>
      <c r="H38" s="1">
        <f t="shared" si="1"/>
        <v>7399140.3499999996</v>
      </c>
    </row>
    <row r="39" spans="1:8" hidden="1" x14ac:dyDescent="0.2">
      <c r="A39" s="6">
        <f>'FERC Interest Rates'!A45</f>
        <v>42369</v>
      </c>
      <c r="D39" s="1">
        <f>-235790-2451396.83</f>
        <v>-2687186.83</v>
      </c>
      <c r="F39" s="1">
        <f>ROUND(H38*VLOOKUP(A39,FERCINT15,2)/365*VLOOKUP(A39,FERCINT15,3),2)</f>
        <v>20423.650000000001</v>
      </c>
      <c r="H39" s="1">
        <f t="shared" si="1"/>
        <v>4732377.17</v>
      </c>
    </row>
    <row r="40" spans="1:8" hidden="1" x14ac:dyDescent="0.2">
      <c r="A40" s="6">
        <f>'FERC Interest Rates'!A46</f>
        <v>42400</v>
      </c>
      <c r="D40" s="1">
        <f>-235790-2843736.16</f>
        <v>-3079526.16</v>
      </c>
      <c r="F40" s="1">
        <f t="shared" ref="F40:F52" si="4">ROUND(H39*VLOOKUP(A40,FERCINT16,2)/365*VLOOKUP(A40,FERCINT16,3),2)</f>
        <v>13062.66</v>
      </c>
      <c r="H40" s="1">
        <f t="shared" si="1"/>
        <v>1665913.67</v>
      </c>
    </row>
    <row r="41" spans="1:8" hidden="1" x14ac:dyDescent="0.2">
      <c r="A41" s="6">
        <f>'FERC Interest Rates'!A47</f>
        <v>42429</v>
      </c>
      <c r="D41" s="1">
        <f>-235790-733663.69</f>
        <v>-969453.69</v>
      </c>
      <c r="F41" s="1">
        <f t="shared" si="4"/>
        <v>4301.71</v>
      </c>
      <c r="H41" s="1">
        <f t="shared" si="1"/>
        <v>700761.69</v>
      </c>
    </row>
    <row r="42" spans="1:8" hidden="1" x14ac:dyDescent="0.2">
      <c r="A42" s="6">
        <f>'FERC Interest Rates'!A48</f>
        <v>42460</v>
      </c>
      <c r="D42" s="1">
        <f>-235790-251077.59</f>
        <v>-486867.58999999997</v>
      </c>
      <c r="F42" s="1">
        <f t="shared" si="4"/>
        <v>1934.29</v>
      </c>
      <c r="H42" s="1">
        <f t="shared" si="1"/>
        <v>215828.38999999996</v>
      </c>
    </row>
    <row r="43" spans="1:8" hidden="1" x14ac:dyDescent="0.2">
      <c r="A43" s="6">
        <f>'FERC Interest Rates'!A49</f>
        <v>42490</v>
      </c>
      <c r="D43" s="1">
        <f>-235790+1778810.98</f>
        <v>1543020.98</v>
      </c>
      <c r="F43" s="1">
        <f t="shared" si="4"/>
        <v>613.78</v>
      </c>
      <c r="H43" s="1">
        <f t="shared" si="1"/>
        <v>1759463.15</v>
      </c>
    </row>
    <row r="44" spans="1:8" hidden="1" x14ac:dyDescent="0.2">
      <c r="A44" s="6">
        <f>'FERC Interest Rates'!A50</f>
        <v>42521</v>
      </c>
      <c r="D44" s="1">
        <f>-235790+2166277.82</f>
        <v>1930487.8199999998</v>
      </c>
      <c r="F44" s="1">
        <f t="shared" si="4"/>
        <v>5170.41</v>
      </c>
      <c r="H44" s="1">
        <f t="shared" si="1"/>
        <v>3695121.38</v>
      </c>
    </row>
    <row r="45" spans="1:8" hidden="1" x14ac:dyDescent="0.2">
      <c r="A45" s="6">
        <f>'FERC Interest Rates'!A51</f>
        <v>42551</v>
      </c>
      <c r="D45" s="1">
        <f>-235790+2358521.52</f>
        <v>2122731.52</v>
      </c>
      <c r="F45" s="1">
        <f t="shared" si="4"/>
        <v>10508.32</v>
      </c>
      <c r="H45" s="1">
        <f t="shared" si="1"/>
        <v>5828361.2199999997</v>
      </c>
    </row>
    <row r="46" spans="1:8" hidden="1" x14ac:dyDescent="0.2">
      <c r="A46" s="6">
        <f>'FERC Interest Rates'!A52</f>
        <v>42582</v>
      </c>
      <c r="D46" s="1">
        <f>2544357.05-235790</f>
        <v>2308567.0499999998</v>
      </c>
      <c r="F46" s="1">
        <f t="shared" si="4"/>
        <v>17325.400000000001</v>
      </c>
      <c r="H46" s="1">
        <f t="shared" si="1"/>
        <v>8154253.6699999999</v>
      </c>
    </row>
    <row r="47" spans="1:8" hidden="1" x14ac:dyDescent="0.2">
      <c r="A47" s="6">
        <f>'FERC Interest Rates'!A53</f>
        <v>42613</v>
      </c>
      <c r="D47" s="1">
        <f>2676077.9-235790</f>
        <v>2440287.9</v>
      </c>
      <c r="F47" s="1">
        <f t="shared" si="4"/>
        <v>24239.360000000001</v>
      </c>
      <c r="H47" s="1">
        <f t="shared" si="1"/>
        <v>10618780.93</v>
      </c>
    </row>
    <row r="48" spans="1:8" hidden="1" x14ac:dyDescent="0.2">
      <c r="A48" s="528" t="s">
        <v>86</v>
      </c>
      <c r="B48" s="528"/>
      <c r="C48" s="528"/>
      <c r="D48" s="528"/>
      <c r="E48" s="528"/>
      <c r="F48" s="528"/>
      <c r="G48" s="1">
        <v>-5863063.5199999996</v>
      </c>
      <c r="H48" s="1">
        <f t="shared" ref="H48" si="5">H47+SUM(D48:G48)</f>
        <v>4755717.41</v>
      </c>
    </row>
    <row r="49" spans="1:8" hidden="1" x14ac:dyDescent="0.2">
      <c r="A49" s="6">
        <f>'FERC Interest Rates'!A54</f>
        <v>42643</v>
      </c>
      <c r="D49" s="1">
        <f>2256459.89-235790</f>
        <v>2020669.8900000001</v>
      </c>
      <c r="F49" s="1">
        <f>ROUND(H48*VLOOKUP(A49,FERCINT16,2)/365*VLOOKUP(A49,FERCINT16,3),2)</f>
        <v>13680.83</v>
      </c>
      <c r="H49" s="1">
        <f>H48+SUM(D49:G49)</f>
        <v>6790068.1300000008</v>
      </c>
    </row>
    <row r="50" spans="1:8" hidden="1" x14ac:dyDescent="0.2">
      <c r="A50" s="6">
        <f>'FERC Interest Rates'!A55</f>
        <v>42674</v>
      </c>
      <c r="D50" s="1">
        <f>1223760.21-235790</f>
        <v>987970.21</v>
      </c>
      <c r="F50" s="1">
        <f t="shared" si="4"/>
        <v>20184.18</v>
      </c>
      <c r="H50" s="1">
        <f t="shared" si="1"/>
        <v>7798222.5200000005</v>
      </c>
    </row>
    <row r="51" spans="1:8" hidden="1" x14ac:dyDescent="0.2">
      <c r="A51" s="6">
        <f>'FERC Interest Rates'!A56</f>
        <v>42704</v>
      </c>
      <c r="D51" s="1">
        <f>-27093.75+6998.33-235790+279026.37</f>
        <v>23140.950000000012</v>
      </c>
      <c r="F51" s="1">
        <f t="shared" si="4"/>
        <v>22433.24</v>
      </c>
      <c r="H51" s="1">
        <f t="shared" si="1"/>
        <v>7843796.7100000009</v>
      </c>
    </row>
    <row r="52" spans="1:8" hidden="1" x14ac:dyDescent="0.2">
      <c r="A52" s="6">
        <f>'FERC Interest Rates'!A57</f>
        <v>42735</v>
      </c>
      <c r="D52" s="1">
        <f>-3365220.01-255885.42</f>
        <v>-3621105.4299999997</v>
      </c>
      <c r="F52" s="1">
        <f t="shared" si="4"/>
        <v>23316.49</v>
      </c>
      <c r="H52" s="1">
        <f t="shared" si="1"/>
        <v>4246007.7700000014</v>
      </c>
    </row>
    <row r="53" spans="1:8" hidden="1" x14ac:dyDescent="0.2">
      <c r="A53" s="6">
        <f>'FERC Interest Rates'!A58</f>
        <v>42766</v>
      </c>
      <c r="D53" s="1">
        <f>-255885.42-3925040.15</f>
        <v>-4180925.57</v>
      </c>
      <c r="F53" s="1">
        <f t="shared" ref="F53:F65" si="6">ROUND(H52*VLOOKUP(A53,FERCINT17,2)/365*VLOOKUP(A53,FERCINT17,3),2)</f>
        <v>12621.69</v>
      </c>
      <c r="H53" s="1">
        <f t="shared" si="1"/>
        <v>77703.890000001527</v>
      </c>
    </row>
    <row r="54" spans="1:8" hidden="1" x14ac:dyDescent="0.2">
      <c r="A54" s="6">
        <f>'FERC Interest Rates'!A59</f>
        <v>42794</v>
      </c>
      <c r="D54" s="1">
        <f>-255885.42-2150057.29</f>
        <v>-2405942.71</v>
      </c>
      <c r="F54" s="1">
        <f t="shared" si="6"/>
        <v>208.63</v>
      </c>
      <c r="H54" s="1">
        <f t="shared" si="1"/>
        <v>-2328030.1899999985</v>
      </c>
    </row>
    <row r="55" spans="1:8" hidden="1" x14ac:dyDescent="0.2">
      <c r="A55" s="6">
        <f>'FERC Interest Rates'!A60</f>
        <v>42825</v>
      </c>
      <c r="D55" s="1">
        <f>-255885.42-552759.68</f>
        <v>-808645.10000000009</v>
      </c>
      <c r="F55" s="1">
        <f t="shared" si="6"/>
        <v>-6920.31</v>
      </c>
      <c r="H55" s="1">
        <f t="shared" si="1"/>
        <v>-3143595.5999999987</v>
      </c>
    </row>
    <row r="56" spans="1:8" hidden="1" x14ac:dyDescent="0.2">
      <c r="A56" s="6">
        <f>'FERC Interest Rates'!A61</f>
        <v>42855</v>
      </c>
      <c r="D56" s="1">
        <f>-255885.42+711602.06</f>
        <v>455716.64</v>
      </c>
      <c r="F56" s="1">
        <f t="shared" si="6"/>
        <v>-9585.81</v>
      </c>
      <c r="H56" s="1">
        <f t="shared" si="1"/>
        <v>-2697464.7699999986</v>
      </c>
    </row>
    <row r="57" spans="1:8" hidden="1" x14ac:dyDescent="0.2">
      <c r="A57" s="6">
        <f>'FERC Interest Rates'!A62</f>
        <v>42886</v>
      </c>
      <c r="D57" s="1">
        <f>1785186.57-255885.42</f>
        <v>1529301.1500000001</v>
      </c>
      <c r="F57" s="1">
        <f t="shared" si="6"/>
        <v>-8499.6</v>
      </c>
      <c r="H57" s="1">
        <f t="shared" si="1"/>
        <v>-1176663.2199999986</v>
      </c>
    </row>
    <row r="58" spans="1:8" hidden="1" x14ac:dyDescent="0.2">
      <c r="A58" s="6">
        <f>'FERC Interest Rates'!A63</f>
        <v>42916</v>
      </c>
      <c r="D58" s="1">
        <f>-255885.42+2860897.95</f>
        <v>2605012.5300000003</v>
      </c>
      <c r="F58" s="1">
        <f t="shared" si="6"/>
        <v>-3588.02</v>
      </c>
      <c r="H58" s="1">
        <f t="shared" si="1"/>
        <v>1424761.2900000017</v>
      </c>
    </row>
    <row r="59" spans="1:8" hidden="1" x14ac:dyDescent="0.2">
      <c r="A59" s="6">
        <f>'FERC Interest Rates'!A64</f>
        <v>42947</v>
      </c>
      <c r="D59" s="1">
        <f>-255885.42+2782148.25</f>
        <v>2526262.83</v>
      </c>
      <c r="F59" s="1">
        <f t="shared" si="6"/>
        <v>4791.88</v>
      </c>
      <c r="H59" s="1">
        <f t="shared" si="1"/>
        <v>3955816.0000000019</v>
      </c>
    </row>
    <row r="60" spans="1:8" hidden="1" x14ac:dyDescent="0.2">
      <c r="A60" s="6">
        <f>'FERC Interest Rates'!A65</f>
        <v>42978</v>
      </c>
      <c r="D60" s="1">
        <f>2895319.51-255885.42</f>
        <v>2639434.09</v>
      </c>
      <c r="F60" s="1">
        <f t="shared" si="6"/>
        <v>13304.55</v>
      </c>
      <c r="H60" s="1">
        <f t="shared" si="1"/>
        <v>6608554.6400000015</v>
      </c>
    </row>
    <row r="61" spans="1:8" hidden="1" x14ac:dyDescent="0.2">
      <c r="A61" s="6">
        <f>'FERC Interest Rates'!A66</f>
        <v>43008</v>
      </c>
      <c r="D61" s="1">
        <f>2319711.12-255885.42</f>
        <v>2063825.7000000002</v>
      </c>
      <c r="F61" s="1">
        <f t="shared" si="6"/>
        <v>21509.49</v>
      </c>
      <c r="H61" s="1">
        <f t="shared" si="1"/>
        <v>8693889.8300000019</v>
      </c>
    </row>
    <row r="62" spans="1:8" hidden="1" x14ac:dyDescent="0.2">
      <c r="A62" s="6">
        <f>'FERC Interest Rates'!A67</f>
        <v>43039</v>
      </c>
      <c r="D62" s="1">
        <v>1101849.6100000001</v>
      </c>
      <c r="F62" s="1">
        <f t="shared" si="6"/>
        <v>31086.02</v>
      </c>
      <c r="H62" s="1">
        <f t="shared" si="1"/>
        <v>9826825.4600000028</v>
      </c>
    </row>
    <row r="63" spans="1:8" hidden="1" x14ac:dyDescent="0.2">
      <c r="A63" s="528" t="s">
        <v>89</v>
      </c>
      <c r="B63" s="528"/>
      <c r="C63" s="528"/>
      <c r="D63" s="528"/>
      <c r="E63" s="528"/>
      <c r="F63" s="528"/>
      <c r="G63" s="1">
        <v>-3996277.46</v>
      </c>
      <c r="H63" s="1">
        <f t="shared" si="1"/>
        <v>5830548.0000000028</v>
      </c>
    </row>
    <row r="64" spans="1:8" hidden="1" x14ac:dyDescent="0.2">
      <c r="A64" s="6">
        <f>'FERC Interest Rates'!A68</f>
        <v>43069</v>
      </c>
      <c r="D64" s="1">
        <f>-897988.44-255885.42-255885.42</f>
        <v>-1409759.2799999998</v>
      </c>
      <c r="F64" s="1">
        <f>ROUND(H63*VLOOKUP(A64,FERCINT17,2)/365*VLOOKUP(A64,FERCINT17,3),2)</f>
        <v>20175.29</v>
      </c>
      <c r="H64" s="1">
        <f t="shared" si="1"/>
        <v>4440964.0100000035</v>
      </c>
    </row>
    <row r="65" spans="1:8" hidden="1" x14ac:dyDescent="0.2">
      <c r="A65" s="6">
        <f>'FERC Interest Rates'!A69</f>
        <v>43100</v>
      </c>
      <c r="D65" s="1">
        <f>-255885.42-2475480.62</f>
        <v>-2731366.04</v>
      </c>
      <c r="F65" s="1">
        <f t="shared" si="6"/>
        <v>15879.18</v>
      </c>
      <c r="H65" s="1">
        <f t="shared" si="1"/>
        <v>1725477.1500000036</v>
      </c>
    </row>
    <row r="66" spans="1:8" hidden="1" x14ac:dyDescent="0.2">
      <c r="A66" s="6">
        <f>'FERC Interest Rates'!A70</f>
        <v>43131</v>
      </c>
      <c r="D66" s="1">
        <f>-255885.42-2432578.96</f>
        <v>-2688464.38</v>
      </c>
      <c r="F66" s="1">
        <f t="shared" ref="F66:F78" si="7">ROUND(H65*VLOOKUP(A66,FERCINT18,2)/365*VLOOKUP(A66,FERCINT18,3),2)</f>
        <v>6228.26</v>
      </c>
      <c r="H66" s="1">
        <f t="shared" si="1"/>
        <v>-956758.96999999648</v>
      </c>
    </row>
    <row r="67" spans="1:8" hidden="1" x14ac:dyDescent="0.2">
      <c r="A67" s="6">
        <f>'FERC Interest Rates'!A71</f>
        <v>43159</v>
      </c>
      <c r="D67" s="1">
        <f>-255885.42-1881476.29</f>
        <v>-2137361.71</v>
      </c>
      <c r="F67" s="1">
        <f t="shared" si="7"/>
        <v>-3119.3</v>
      </c>
      <c r="H67" s="1">
        <f t="shared" si="1"/>
        <v>-3097239.9799999963</v>
      </c>
    </row>
    <row r="68" spans="1:8" hidden="1" x14ac:dyDescent="0.2">
      <c r="A68" s="6">
        <f>'FERC Interest Rates'!A72</f>
        <v>43190</v>
      </c>
      <c r="D68" s="1">
        <f>-255885.42-527904.85</f>
        <v>-783790.27</v>
      </c>
      <c r="F68" s="1">
        <f t="shared" si="7"/>
        <v>-11179.76</v>
      </c>
      <c r="H68" s="1">
        <f t="shared" si="1"/>
        <v>-3892210.0099999961</v>
      </c>
    </row>
    <row r="69" spans="1:8" hidden="1" x14ac:dyDescent="0.2">
      <c r="A69" s="6">
        <f>'FERC Interest Rates'!A73</f>
        <v>43220</v>
      </c>
      <c r="D69" s="1">
        <f>-255885.42+736662.62</f>
        <v>480777.19999999995</v>
      </c>
      <c r="F69" s="1">
        <f t="shared" si="7"/>
        <v>-14299.87</v>
      </c>
      <c r="H69" s="1">
        <f t="shared" si="1"/>
        <v>-3425732.679999996</v>
      </c>
    </row>
    <row r="70" spans="1:8" hidden="1" x14ac:dyDescent="0.2">
      <c r="A70" s="6">
        <f>'FERC Interest Rates'!A74</f>
        <v>43251</v>
      </c>
      <c r="D70" s="1">
        <f>-255885.42+2305103.01</f>
        <v>2049217.5899999999</v>
      </c>
      <c r="F70" s="1">
        <f t="shared" si="7"/>
        <v>-13005.58</v>
      </c>
      <c r="H70" s="1">
        <f t="shared" si="1"/>
        <v>-1389520.6699999962</v>
      </c>
    </row>
    <row r="71" spans="1:8" hidden="1" x14ac:dyDescent="0.2">
      <c r="A71" s="6">
        <f>'FERC Interest Rates'!A75</f>
        <v>43281</v>
      </c>
      <c r="D71" s="1">
        <f>-255885.42+2275296</f>
        <v>2019410.58</v>
      </c>
      <c r="F71" s="1">
        <f t="shared" si="7"/>
        <v>-5105.0600000000004</v>
      </c>
      <c r="H71" s="1">
        <f t="shared" si="1"/>
        <v>624784.85000000382</v>
      </c>
    </row>
    <row r="72" spans="1:8" hidden="1" x14ac:dyDescent="0.2">
      <c r="A72" s="6">
        <f>'FERC Interest Rates'!A76</f>
        <v>43312</v>
      </c>
      <c r="D72" s="1">
        <f>-255885.42+2633195.8</f>
        <v>2377310.38</v>
      </c>
      <c r="F72" s="1">
        <f t="shared" si="7"/>
        <v>2488.6999999999998</v>
      </c>
      <c r="H72" s="1">
        <f t="shared" si="1"/>
        <v>3004583.9300000039</v>
      </c>
    </row>
    <row r="73" spans="1:8" hidden="1" x14ac:dyDescent="0.2">
      <c r="A73" s="6">
        <f>'FERC Interest Rates'!A77</f>
        <v>43343</v>
      </c>
      <c r="D73" s="1">
        <f>3035339.83-255885.42</f>
        <v>2779454.41</v>
      </c>
      <c r="F73" s="1">
        <f t="shared" si="7"/>
        <v>11968.12</v>
      </c>
      <c r="H73" s="1">
        <f t="shared" si="1"/>
        <v>5796006.4600000046</v>
      </c>
    </row>
    <row r="74" spans="1:8" hidden="1" x14ac:dyDescent="0.2">
      <c r="A74" s="6">
        <f>'FERC Interest Rates'!A78</f>
        <v>43373</v>
      </c>
      <c r="D74" s="1">
        <f>-255885.42+2254070.8</f>
        <v>1998185.38</v>
      </c>
      <c r="F74" s="1">
        <f t="shared" si="7"/>
        <v>22342.41</v>
      </c>
      <c r="H74" s="1">
        <f t="shared" si="1"/>
        <v>7816534.2500000047</v>
      </c>
    </row>
    <row r="75" spans="1:8" ht="18" hidden="1" customHeight="1" x14ac:dyDescent="0.2">
      <c r="A75" s="6">
        <f>'FERC Interest Rates'!A79</f>
        <v>43404</v>
      </c>
      <c r="D75" s="1">
        <f>986862.1-255885.42</f>
        <v>730976.67999999993</v>
      </c>
      <c r="F75" s="1">
        <f t="shared" si="7"/>
        <v>32927.949999999997</v>
      </c>
      <c r="H75" s="1">
        <f t="shared" si="1"/>
        <v>8580438.8800000045</v>
      </c>
    </row>
    <row r="76" spans="1:8" hidden="1" x14ac:dyDescent="0.2">
      <c r="A76" s="524" t="s">
        <v>89</v>
      </c>
      <c r="B76" s="524"/>
      <c r="C76" s="524"/>
      <c r="D76" s="524"/>
      <c r="E76" s="524"/>
      <c r="F76" s="524"/>
      <c r="G76" s="1">
        <v>-3040936.76</v>
      </c>
      <c r="H76" s="1">
        <f t="shared" ref="H76:H88" si="8">H75+SUM(D76:G76)</f>
        <v>5539502.1200000048</v>
      </c>
    </row>
    <row r="77" spans="1:8" hidden="1" x14ac:dyDescent="0.2">
      <c r="A77" s="164">
        <f>'FERC Interest Rates'!A80</f>
        <v>43434</v>
      </c>
      <c r="B77" s="162"/>
      <c r="C77" s="162"/>
      <c r="D77" s="146">
        <f>-352350.7-1006347.35</f>
        <v>-1358698.05</v>
      </c>
      <c r="E77" s="162"/>
      <c r="F77" s="146">
        <f t="shared" si="7"/>
        <v>22582.959999999999</v>
      </c>
      <c r="H77" s="1">
        <f t="shared" si="8"/>
        <v>4203387.0300000049</v>
      </c>
    </row>
    <row r="78" spans="1:8" hidden="1" x14ac:dyDescent="0.2">
      <c r="A78" s="164">
        <f>'FERC Interest Rates'!A81</f>
        <v>43465</v>
      </c>
      <c r="B78" s="162"/>
      <c r="C78" s="162"/>
      <c r="D78" s="146">
        <f>-2725392.79+73490.98</f>
        <v>-2651901.81</v>
      </c>
      <c r="E78" s="162"/>
      <c r="F78" s="146">
        <f t="shared" si="7"/>
        <v>17707.2</v>
      </c>
      <c r="H78" s="1">
        <f t="shared" si="8"/>
        <v>1569192.420000005</v>
      </c>
    </row>
    <row r="79" spans="1:8" hidden="1" x14ac:dyDescent="0.2">
      <c r="A79" s="164">
        <f>'FERC Interest Rates'!A82</f>
        <v>43496</v>
      </c>
      <c r="B79" s="162"/>
      <c r="C79" s="162"/>
      <c r="D79" s="146">
        <f>-352350.7-2243893.67</f>
        <v>-2596244.37</v>
      </c>
      <c r="E79" s="162"/>
      <c r="F79" s="146">
        <f t="shared" ref="F79:F88" si="9">ROUND(H78*VLOOKUP(A79,FERCINT19,2)/365*VLOOKUP(A79,FERCINT19,3),2)</f>
        <v>6903.59</v>
      </c>
      <c r="H79" s="1">
        <f t="shared" si="8"/>
        <v>-1020148.3599999952</v>
      </c>
    </row>
    <row r="80" spans="1:8" hidden="1" x14ac:dyDescent="0.2">
      <c r="A80" s="164">
        <f>'FERC Interest Rates'!A83</f>
        <v>43524</v>
      </c>
      <c r="B80" s="162"/>
      <c r="C80" s="162"/>
      <c r="D80" s="146">
        <f>-352350.7-4066257.52</f>
        <v>-4418608.22</v>
      </c>
      <c r="E80" s="162"/>
      <c r="F80" s="146">
        <f t="shared" si="9"/>
        <v>-4053.76</v>
      </c>
      <c r="H80" s="1">
        <f t="shared" si="8"/>
        <v>-5442810.3399999943</v>
      </c>
    </row>
    <row r="81" spans="1:8" hidden="1" x14ac:dyDescent="0.2">
      <c r="A81" s="164">
        <f>'FERC Interest Rates'!A84</f>
        <v>43555</v>
      </c>
      <c r="B81" s="162"/>
      <c r="C81" s="162"/>
      <c r="D81" s="146">
        <f>-352350.7-1565906.59</f>
        <v>-1918257.29</v>
      </c>
      <c r="E81" s="162"/>
      <c r="F81" s="146">
        <f t="shared" si="9"/>
        <v>-23945.38</v>
      </c>
      <c r="H81" s="1">
        <f t="shared" si="8"/>
        <v>-7385013.0099999942</v>
      </c>
    </row>
    <row r="82" spans="1:8" hidden="1" x14ac:dyDescent="0.2">
      <c r="A82" s="164">
        <f>'FERC Interest Rates'!A85</f>
        <v>43585</v>
      </c>
      <c r="B82" s="162"/>
      <c r="C82" s="162"/>
      <c r="D82" s="146">
        <f>1221377.19-352350.7</f>
        <v>869026.49</v>
      </c>
      <c r="E82" s="162"/>
      <c r="F82" s="146">
        <f t="shared" si="9"/>
        <v>-33080.81</v>
      </c>
      <c r="H82" s="1">
        <f t="shared" si="8"/>
        <v>-6549067.3299999945</v>
      </c>
    </row>
    <row r="83" spans="1:8" hidden="1" x14ac:dyDescent="0.2">
      <c r="A83" s="164">
        <f>'FERC Interest Rates'!A86</f>
        <v>43616</v>
      </c>
      <c r="B83" s="162"/>
      <c r="C83" s="162"/>
      <c r="D83" s="146">
        <f>2009114.82-352350.7</f>
        <v>1656764.12</v>
      </c>
      <c r="E83" s="162"/>
      <c r="F83" s="146">
        <f t="shared" si="9"/>
        <v>-30314.11</v>
      </c>
      <c r="H83" s="1">
        <f t="shared" si="8"/>
        <v>-4922617.3199999947</v>
      </c>
    </row>
    <row r="84" spans="1:8" hidden="1" x14ac:dyDescent="0.2">
      <c r="A84" s="164">
        <f>'FERC Interest Rates'!A87</f>
        <v>43646</v>
      </c>
      <c r="B84" s="162"/>
      <c r="C84" s="162"/>
      <c r="D84" s="146">
        <f>2443588.78-352350.7</f>
        <v>2091238.0799999998</v>
      </c>
      <c r="E84" s="162"/>
      <c r="F84" s="146">
        <f t="shared" si="9"/>
        <v>-22050.63</v>
      </c>
      <c r="H84" s="1">
        <f t="shared" si="8"/>
        <v>-2853429.8699999945</v>
      </c>
    </row>
    <row r="85" spans="1:8" hidden="1" x14ac:dyDescent="0.2">
      <c r="A85" s="164">
        <f>'FERC Interest Rates'!A88</f>
        <v>43677</v>
      </c>
      <c r="B85" s="162"/>
      <c r="C85" s="162"/>
      <c r="D85" s="146">
        <f>2494215.77-352350.7</f>
        <v>2141865.0699999998</v>
      </c>
      <c r="E85" s="162"/>
      <c r="F85" s="146">
        <f t="shared" si="9"/>
        <v>-13329.04</v>
      </c>
      <c r="H85" s="1">
        <f t="shared" si="8"/>
        <v>-724893.83999999473</v>
      </c>
    </row>
    <row r="86" spans="1:8" hidden="1" x14ac:dyDescent="0.2">
      <c r="A86" s="164">
        <f>'FERC Interest Rates'!A89</f>
        <v>43708</v>
      </c>
      <c r="B86" s="162"/>
      <c r="C86" s="162"/>
      <c r="D86" s="146">
        <f>2635631.05-352350.7</f>
        <v>2283280.3499999996</v>
      </c>
      <c r="E86" s="162"/>
      <c r="F86" s="146">
        <f t="shared" si="9"/>
        <v>-3386.15</v>
      </c>
      <c r="H86" s="1">
        <f t="shared" si="8"/>
        <v>1555000.360000005</v>
      </c>
    </row>
    <row r="87" spans="1:8" hidden="1" x14ac:dyDescent="0.2">
      <c r="A87" s="164">
        <f>'FERC Interest Rates'!A90</f>
        <v>43738</v>
      </c>
      <c r="B87" s="162"/>
      <c r="C87" s="162"/>
      <c r="D87" s="146">
        <f>1785785.68-4837772.82-352350.7-2081113.59</f>
        <v>-5485451.4300000006</v>
      </c>
      <c r="E87" s="162"/>
      <c r="F87" s="146">
        <f t="shared" si="9"/>
        <v>7029.45</v>
      </c>
      <c r="H87" s="1">
        <f t="shared" si="8"/>
        <v>-3923421.6199999955</v>
      </c>
    </row>
    <row r="88" spans="1:8" hidden="1" x14ac:dyDescent="0.2">
      <c r="A88" s="164">
        <f>'FERC Interest Rates'!A91</f>
        <v>43769</v>
      </c>
      <c r="B88" s="162"/>
      <c r="C88" s="162"/>
      <c r="D88" s="146">
        <f>-364139.14-352350.7</f>
        <v>-716489.84000000008</v>
      </c>
      <c r="E88" s="162"/>
      <c r="F88" s="146">
        <f t="shared" si="9"/>
        <v>-18060.64</v>
      </c>
      <c r="H88" s="1">
        <f t="shared" si="8"/>
        <v>-4657972.0999999959</v>
      </c>
    </row>
    <row r="89" spans="1:8" x14ac:dyDescent="0.2">
      <c r="A89" s="524" t="s">
        <v>153</v>
      </c>
      <c r="B89" s="524"/>
      <c r="C89" s="524"/>
      <c r="D89" s="524"/>
      <c r="E89" s="524"/>
      <c r="F89" s="524"/>
      <c r="G89" s="1">
        <v>7685675.8799999999</v>
      </c>
      <c r="H89" s="1">
        <f t="shared" ref="H89" si="10">H88+SUM(D89:G89)</f>
        <v>3027703.780000004</v>
      </c>
    </row>
    <row r="90" spans="1:8" x14ac:dyDescent="0.2">
      <c r="A90" s="164">
        <f>'FERC Interest Rates'!A92</f>
        <v>43799</v>
      </c>
      <c r="B90" s="162"/>
      <c r="C90" s="162"/>
      <c r="D90" s="146">
        <f>-1755909.97-352350.7+13888.75</f>
        <v>-2094371.92</v>
      </c>
      <c r="E90" s="162"/>
      <c r="F90" s="146">
        <f>ROUND(H89*VLOOKUP(A90,FERCINT19,2)/365*VLOOKUP(A90,FERCINT19,3),2)</f>
        <v>13487.8</v>
      </c>
      <c r="G90" s="1">
        <v>6718.25</v>
      </c>
      <c r="H90" s="1">
        <f>H89+SUM(D90:G90)</f>
        <v>953537.91000000411</v>
      </c>
    </row>
    <row r="91" spans="1:8" x14ac:dyDescent="0.2">
      <c r="A91" s="164">
        <f>'FERC Interest Rates'!A93</f>
        <v>43830</v>
      </c>
      <c r="B91" s="162"/>
      <c r="C91" s="162"/>
      <c r="D91" s="146">
        <v>-2859387.57</v>
      </c>
      <c r="E91" s="162"/>
      <c r="F91" s="146">
        <f t="shared" ref="F91" si="11">ROUND(H90*VLOOKUP(A91,FERCINT19,2)/365*VLOOKUP(A91,FERCINT19,3),2)</f>
        <v>4389.41</v>
      </c>
      <c r="H91" s="1">
        <f>H90+SUM(D91:G91)+19580.2</f>
        <v>-1881880.0499999956</v>
      </c>
    </row>
    <row r="92" spans="1:8" x14ac:dyDescent="0.2">
      <c r="A92" s="164">
        <f>'FERC Interest Rates'!A94</f>
        <v>43861</v>
      </c>
      <c r="B92" s="162"/>
      <c r="C92" s="162"/>
      <c r="D92" s="146">
        <f>-359068.95-2344316.43</f>
        <v>-2703385.3800000004</v>
      </c>
      <c r="E92" s="162"/>
      <c r="F92" s="146">
        <f t="shared" ref="F92:F104" si="12">ROUND(H91*VLOOKUP(A92,FERCINT20,2)/365*VLOOKUP(A92,FERCINT20,3),2)</f>
        <v>-7927.61</v>
      </c>
      <c r="H92" s="1">
        <f>H91+SUM(D92:G92)+22066.97</f>
        <v>-4571126.0699999956</v>
      </c>
    </row>
    <row r="93" spans="1:8" x14ac:dyDescent="0.2">
      <c r="A93" s="164">
        <f>'FERC Interest Rates'!A95</f>
        <v>43890</v>
      </c>
      <c r="B93" s="162"/>
      <c r="C93" s="162"/>
      <c r="D93" s="146">
        <f>-1908269.24-359068.95</f>
        <v>-2267338.19</v>
      </c>
      <c r="E93" s="162"/>
      <c r="F93" s="146">
        <f t="shared" si="12"/>
        <v>-18013.990000000002</v>
      </c>
      <c r="H93" s="1">
        <f t="shared" ref="H93:H114" si="13">H92+SUM(D93:G93)</f>
        <v>-6856478.2499999963</v>
      </c>
    </row>
    <row r="94" spans="1:8" x14ac:dyDescent="0.2">
      <c r="A94" s="164">
        <f>'FERC Interest Rates'!A96</f>
        <v>43921</v>
      </c>
      <c r="B94" s="162"/>
      <c r="C94" s="162"/>
      <c r="D94" s="146">
        <f>-1132094.18-359068.95</f>
        <v>-1491163.13</v>
      </c>
      <c r="E94" s="162"/>
      <c r="F94" s="146">
        <f t="shared" si="12"/>
        <v>-28883.62</v>
      </c>
      <c r="H94" s="1">
        <f t="shared" si="13"/>
        <v>-8376524.9999999963</v>
      </c>
    </row>
    <row r="95" spans="1:8" x14ac:dyDescent="0.2">
      <c r="A95" s="164">
        <f>'FERC Interest Rates'!A97</f>
        <v>43951</v>
      </c>
      <c r="B95" s="162"/>
      <c r="C95" s="162"/>
      <c r="D95" s="146">
        <f>737922.46-359068.95</f>
        <v>378853.50999999995</v>
      </c>
      <c r="E95" s="162"/>
      <c r="F95" s="146">
        <f t="shared" si="12"/>
        <v>-32702.87</v>
      </c>
      <c r="H95" s="1">
        <f t="shared" si="13"/>
        <v>-8030374.3599999966</v>
      </c>
    </row>
    <row r="96" spans="1:8" x14ac:dyDescent="0.2">
      <c r="A96" s="164">
        <f>'FERC Interest Rates'!A98</f>
        <v>43982</v>
      </c>
      <c r="B96" s="162"/>
      <c r="C96" s="162"/>
      <c r="D96" s="146">
        <f>1822375.24-359068.95</f>
        <v>1463306.29</v>
      </c>
      <c r="E96" s="162"/>
      <c r="F96" s="146">
        <f t="shared" si="12"/>
        <v>-32396.51</v>
      </c>
      <c r="H96" s="1">
        <f t="shared" si="13"/>
        <v>-6599464.5799999963</v>
      </c>
    </row>
    <row r="97" spans="1:8" x14ac:dyDescent="0.2">
      <c r="A97" s="164">
        <f>'FERC Interest Rates'!A99</f>
        <v>44012</v>
      </c>
      <c r="B97" s="162"/>
      <c r="C97" s="162"/>
      <c r="D97" s="146">
        <f>-359068.95+2238074.24</f>
        <v>1879005.2900000003</v>
      </c>
      <c r="E97" s="162"/>
      <c r="F97" s="146">
        <f t="shared" si="12"/>
        <v>-25765.03</v>
      </c>
      <c r="H97" s="1">
        <f t="shared" si="13"/>
        <v>-4746224.3199999966</v>
      </c>
    </row>
    <row r="98" spans="1:8" x14ac:dyDescent="0.2">
      <c r="A98" s="164">
        <f>'FERC Interest Rates'!A100</f>
        <v>44043</v>
      </c>
      <c r="B98" s="162"/>
      <c r="C98" s="162"/>
      <c r="D98" s="146">
        <f>2503009.42-359068.95</f>
        <v>2143940.4699999997</v>
      </c>
      <c r="E98" s="162"/>
      <c r="F98" s="146">
        <f t="shared" si="12"/>
        <v>-13826.47</v>
      </c>
      <c r="H98" s="1">
        <f t="shared" si="13"/>
        <v>-2616110.319999997</v>
      </c>
    </row>
    <row r="99" spans="1:8" x14ac:dyDescent="0.2">
      <c r="A99" s="164">
        <f>'FERC Interest Rates'!A101</f>
        <v>44074</v>
      </c>
      <c r="B99" s="162"/>
      <c r="C99" s="162"/>
      <c r="D99" s="146">
        <f>2419844.24-359068.95</f>
        <v>2060775.2900000003</v>
      </c>
      <c r="E99" s="162"/>
      <c r="F99" s="146">
        <f t="shared" si="12"/>
        <v>-7621.12</v>
      </c>
      <c r="H99" s="1">
        <f t="shared" si="13"/>
        <v>-562956.14999999688</v>
      </c>
    </row>
    <row r="100" spans="1:8" x14ac:dyDescent="0.2">
      <c r="A100" s="164">
        <f>'FERC Interest Rates'!A102</f>
        <v>44104</v>
      </c>
      <c r="B100" s="162"/>
      <c r="C100" s="162"/>
      <c r="D100" s="146">
        <f>2250759.68-359068.95</f>
        <v>1891690.7300000002</v>
      </c>
      <c r="E100" s="162"/>
      <c r="F100" s="146">
        <f t="shared" si="12"/>
        <v>-1587.07</v>
      </c>
      <c r="H100" s="1">
        <f t="shared" si="13"/>
        <v>1327147.5100000033</v>
      </c>
    </row>
    <row r="101" spans="1:8" x14ac:dyDescent="0.2">
      <c r="A101" s="164">
        <f>'FERC Interest Rates'!A103</f>
        <v>44135</v>
      </c>
      <c r="B101" s="162"/>
      <c r="C101" s="162"/>
      <c r="D101" s="146">
        <f>817786.17-359068.95</f>
        <v>458717.22000000003</v>
      </c>
      <c r="E101" s="162"/>
      <c r="F101" s="146">
        <f t="shared" si="12"/>
        <v>3663.29</v>
      </c>
      <c r="H101" s="1">
        <f t="shared" si="13"/>
        <v>1789528.0200000033</v>
      </c>
    </row>
    <row r="102" spans="1:8" x14ac:dyDescent="0.2">
      <c r="A102" s="524" t="s">
        <v>153</v>
      </c>
      <c r="B102" s="524"/>
      <c r="C102" s="524"/>
      <c r="D102" s="524"/>
      <c r="E102" s="524"/>
      <c r="F102" s="524"/>
      <c r="G102" s="146">
        <v>2638390.84</v>
      </c>
      <c r="H102" s="1">
        <f t="shared" si="13"/>
        <v>4427918.8600000031</v>
      </c>
    </row>
    <row r="103" spans="1:8" x14ac:dyDescent="0.2">
      <c r="A103" s="164">
        <f>'FERC Interest Rates'!A104</f>
        <v>44165</v>
      </c>
      <c r="B103" s="162"/>
      <c r="C103" s="162"/>
      <c r="D103" s="146">
        <f>-660317.71-359068.95-192.33+384.66</f>
        <v>-1019194.3299999998</v>
      </c>
      <c r="E103" s="162"/>
      <c r="F103" s="146">
        <f t="shared" si="12"/>
        <v>11828</v>
      </c>
      <c r="H103" s="1">
        <f t="shared" si="13"/>
        <v>3420552.5300000031</v>
      </c>
    </row>
    <row r="104" spans="1:8" x14ac:dyDescent="0.2">
      <c r="A104" s="164">
        <f>'FERC Interest Rates'!A105</f>
        <v>44196</v>
      </c>
      <c r="B104" s="162"/>
      <c r="C104" s="162"/>
      <c r="D104" s="146">
        <f>-1630214.11-358876.62</f>
        <v>-1989090.73</v>
      </c>
      <c r="E104" s="162"/>
      <c r="F104" s="146">
        <f t="shared" si="12"/>
        <v>9441.66</v>
      </c>
      <c r="H104" s="1">
        <f t="shared" si="13"/>
        <v>1440903.460000003</v>
      </c>
    </row>
    <row r="105" spans="1:8" x14ac:dyDescent="0.2">
      <c r="A105" s="164">
        <f>'FERC Interest Rates'!A106</f>
        <v>44227</v>
      </c>
      <c r="B105" s="162"/>
      <c r="C105" s="162"/>
      <c r="D105" s="146">
        <f>-1457925.47-358876.62-49124.4</f>
        <v>-1865926.4899999998</v>
      </c>
      <c r="E105" s="162"/>
      <c r="F105" s="146">
        <f t="shared" ref="F105:F114" si="14">ROUND(H104*VLOOKUP(A105,FERCINT21,2)/365*VLOOKUP(A105,FERCINT21,3),2)</f>
        <v>3977.29</v>
      </c>
      <c r="H105" s="1">
        <f t="shared" si="13"/>
        <v>-421045.73999999673</v>
      </c>
    </row>
    <row r="106" spans="1:8" x14ac:dyDescent="0.2">
      <c r="A106" s="164">
        <f>'FERC Interest Rates'!A107</f>
        <v>44255</v>
      </c>
      <c r="B106" s="162"/>
      <c r="C106" s="162"/>
      <c r="D106" s="146">
        <f>-1897964.36-358876.62-49824.98</f>
        <v>-2306665.96</v>
      </c>
      <c r="E106" s="162"/>
      <c r="F106" s="146">
        <f t="shared" si="14"/>
        <v>-1049.73</v>
      </c>
      <c r="H106" s="1">
        <f t="shared" si="13"/>
        <v>-2728761.4299999969</v>
      </c>
    </row>
    <row r="107" spans="1:8" x14ac:dyDescent="0.2">
      <c r="A107" s="164">
        <f>'FERC Interest Rates'!A108</f>
        <v>44286</v>
      </c>
      <c r="B107" s="162"/>
      <c r="C107" s="162"/>
      <c r="D107" s="146">
        <f>-358876.62-340624.4-43057.66</f>
        <v>-742558.68</v>
      </c>
      <c r="E107" s="162"/>
      <c r="F107" s="146">
        <f t="shared" si="14"/>
        <v>-7532.13</v>
      </c>
      <c r="H107" s="1">
        <f t="shared" si="13"/>
        <v>-3478852.239999997</v>
      </c>
    </row>
    <row r="108" spans="1:8" x14ac:dyDescent="0.2">
      <c r="A108" s="164">
        <f>'FERC Interest Rates'!A109</f>
        <v>44316</v>
      </c>
      <c r="B108" s="162"/>
      <c r="C108" s="162"/>
      <c r="D108" s="146">
        <f>1255557.62-358876.62-49224.86</f>
        <v>847456.14000000013</v>
      </c>
      <c r="E108" s="162"/>
      <c r="F108" s="146">
        <f t="shared" si="14"/>
        <v>-9292.82</v>
      </c>
      <c r="H108" s="1">
        <f t="shared" si="13"/>
        <v>-2640688.9199999967</v>
      </c>
    </row>
    <row r="109" spans="1:8" x14ac:dyDescent="0.2">
      <c r="A109" s="164">
        <f>'FERC Interest Rates'!A110</f>
        <v>44347</v>
      </c>
      <c r="B109" s="162"/>
      <c r="C109" s="162"/>
      <c r="D109" s="146">
        <f>2250611.28-358876.62+14438.84</f>
        <v>1906173.4999999998</v>
      </c>
      <c r="E109" s="162"/>
      <c r="F109" s="146">
        <f t="shared" si="14"/>
        <v>-7289.02</v>
      </c>
      <c r="H109" s="1">
        <f t="shared" si="13"/>
        <v>-741804.43999999692</v>
      </c>
    </row>
    <row r="110" spans="1:8" x14ac:dyDescent="0.2">
      <c r="A110" s="164">
        <f>'FERC Interest Rates'!A111</f>
        <v>44377</v>
      </c>
      <c r="B110" s="162"/>
      <c r="C110" s="162"/>
      <c r="D110" s="146">
        <f>2872548.62-358876.62+14446.58</f>
        <v>2528118.58</v>
      </c>
      <c r="E110" s="162"/>
      <c r="F110" s="146">
        <f t="shared" si="14"/>
        <v>-1981.53</v>
      </c>
      <c r="H110" s="1">
        <f t="shared" si="13"/>
        <v>1784332.6100000034</v>
      </c>
    </row>
    <row r="111" spans="1:8" x14ac:dyDescent="0.2">
      <c r="A111" s="164">
        <f>'FERC Interest Rates'!A112</f>
        <v>44408</v>
      </c>
      <c r="B111" s="162"/>
      <c r="C111" s="162"/>
      <c r="D111" s="146">
        <f>2651020.7-358876.62-3.7</f>
        <v>2292140.38</v>
      </c>
      <c r="E111" s="162"/>
      <c r="F111" s="146">
        <f t="shared" si="14"/>
        <v>4925.25</v>
      </c>
      <c r="H111" s="1">
        <f t="shared" si="13"/>
        <v>4081398.240000003</v>
      </c>
    </row>
    <row r="112" spans="1:8" x14ac:dyDescent="0.2">
      <c r="A112" s="164">
        <f>'FERC Interest Rates'!A113</f>
        <v>44439</v>
      </c>
      <c r="B112" s="162"/>
      <c r="C112" s="162"/>
      <c r="D112" s="146">
        <f>2969206.75-358876.62-77.9</f>
        <v>2610252.23</v>
      </c>
      <c r="E112" s="162"/>
      <c r="F112" s="146">
        <f t="shared" si="14"/>
        <v>11265.78</v>
      </c>
      <c r="H112" s="1">
        <f t="shared" si="13"/>
        <v>6702916.2500000028</v>
      </c>
    </row>
    <row r="113" spans="1:8" x14ac:dyDescent="0.2">
      <c r="A113" s="164">
        <f>'FERC Interest Rates'!A114</f>
        <v>44469</v>
      </c>
      <c r="B113" s="162"/>
      <c r="C113" s="162"/>
      <c r="D113" s="146">
        <f>2511632.69-358876.62</f>
        <v>2152756.0699999998</v>
      </c>
      <c r="E113" s="162"/>
      <c r="F113" s="146">
        <f t="shared" si="14"/>
        <v>17905.05</v>
      </c>
      <c r="H113" s="1">
        <f t="shared" si="13"/>
        <v>8873577.3700000029</v>
      </c>
    </row>
    <row r="114" spans="1:8" x14ac:dyDescent="0.2">
      <c r="A114" s="164">
        <f>'FERC Interest Rates'!A115</f>
        <v>44500</v>
      </c>
      <c r="B114" s="162"/>
      <c r="C114" s="162"/>
      <c r="D114" s="146">
        <f>1136866.04-358876.62+0.02</f>
        <v>777989.44000000006</v>
      </c>
      <c r="E114" s="162"/>
      <c r="F114" s="146">
        <f t="shared" si="14"/>
        <v>24493.5</v>
      </c>
      <c r="H114" s="1">
        <f t="shared" si="13"/>
        <v>9676060.3100000024</v>
      </c>
    </row>
    <row r="115" spans="1:8" x14ac:dyDescent="0.2">
      <c r="A115" s="524" t="s">
        <v>181</v>
      </c>
      <c r="B115" s="524"/>
      <c r="C115" s="524"/>
      <c r="D115" s="524"/>
      <c r="E115" s="524"/>
      <c r="F115" s="524"/>
      <c r="G115" s="146">
        <v>-4280860.74</v>
      </c>
      <c r="H115" s="1">
        <f t="shared" ref="H115:H116" si="15">H114+SUM(D115:G115)</f>
        <v>5395199.5700000022</v>
      </c>
    </row>
    <row r="116" spans="1:8" x14ac:dyDescent="0.2">
      <c r="A116" s="164">
        <f>'FERC Interest Rates'!A116</f>
        <v>44530</v>
      </c>
      <c r="B116" s="162"/>
      <c r="C116" s="162"/>
      <c r="D116" s="146">
        <f>-504475.95-362037.24+30599.91-6.56</f>
        <v>-835919.84</v>
      </c>
      <c r="E116" s="162"/>
      <c r="F116" s="146">
        <f t="shared" ref="F116" si="16">ROUND(H115*VLOOKUP(A116,FERCINT21,2)/365*VLOOKUP(A116,FERCINT21,3),2)</f>
        <v>14411.83</v>
      </c>
      <c r="H116" s="1">
        <f t="shared" si="15"/>
        <v>4573691.5600000024</v>
      </c>
    </row>
    <row r="117" spans="1:8" x14ac:dyDescent="0.2">
      <c r="A117" s="164">
        <f>'FERC Interest Rates'!A117</f>
        <v>44561</v>
      </c>
      <c r="B117" s="162"/>
      <c r="C117" s="162"/>
      <c r="D117" s="146">
        <f>-3392801.58-336374.2-23842.62-62718.2</f>
        <v>-3815736.6000000006</v>
      </c>
      <c r="E117" s="162"/>
      <c r="F117" s="146">
        <f t="shared" ref="F117" si="17">ROUND(H116*VLOOKUP(A117,FERCINT21,2)/365*VLOOKUP(A117,FERCINT21,3),2)</f>
        <v>12624.64</v>
      </c>
      <c r="H117" s="1">
        <f t="shared" ref="H117:H118" si="18">H116+SUM(D117:G117)</f>
        <v>770579.60000000196</v>
      </c>
    </row>
    <row r="118" spans="1:8" x14ac:dyDescent="0.2">
      <c r="A118" s="164">
        <f>'FERC Interest Rates'!A118</f>
        <v>44592</v>
      </c>
      <c r="B118" s="162"/>
      <c r="C118" s="162"/>
      <c r="D118" s="146">
        <f>-3368588.89-336374.2</f>
        <v>-3704963.0900000003</v>
      </c>
      <c r="E118" s="162"/>
      <c r="F118" s="146">
        <f t="shared" ref="F118:F123" si="19">ROUND(H117*VLOOKUP(A118,FERCINT22,2)/365*VLOOKUP(A118,FERCINT22,3),2)</f>
        <v>2127.0100000000002</v>
      </c>
      <c r="H118" s="1">
        <f t="shared" si="18"/>
        <v>-2932256.4799999986</v>
      </c>
    </row>
    <row r="119" spans="1:8" x14ac:dyDescent="0.2">
      <c r="A119" s="164">
        <f>'FERC Interest Rates'!A119</f>
        <v>44620</v>
      </c>
      <c r="B119" s="162"/>
      <c r="C119" s="162"/>
      <c r="D119" s="146">
        <f>-1900883.6-336374.2-45479.34</f>
        <v>-2282737.14</v>
      </c>
      <c r="E119" s="162"/>
      <c r="F119" s="146">
        <f t="shared" si="19"/>
        <v>-7310.56</v>
      </c>
      <c r="H119" s="1">
        <f t="shared" ref="H119:H123" si="20">H118+SUM(D119:G119)</f>
        <v>-5222304.1799999988</v>
      </c>
    </row>
    <row r="120" spans="1:8" x14ac:dyDescent="0.2">
      <c r="A120" s="164">
        <f>'FERC Interest Rates'!A120</f>
        <v>44651</v>
      </c>
      <c r="B120" s="162"/>
      <c r="C120" s="162"/>
      <c r="D120" s="146">
        <f>-336374.2-99260.75-30904.35</f>
        <v>-466539.3</v>
      </c>
      <c r="E120" s="162"/>
      <c r="F120" s="146">
        <f t="shared" si="19"/>
        <v>-14414.99</v>
      </c>
      <c r="H120" s="1">
        <f t="shared" si="20"/>
        <v>-5703258.4699999988</v>
      </c>
    </row>
    <row r="121" spans="1:8" x14ac:dyDescent="0.2">
      <c r="A121" s="164">
        <f>'FERC Interest Rates'!A121</f>
        <v>44681</v>
      </c>
      <c r="B121" s="162"/>
      <c r="C121" s="162"/>
      <c r="D121" s="146">
        <f>-68623.84-336374.2-36135.55</f>
        <v>-441133.59</v>
      </c>
      <c r="E121" s="162"/>
      <c r="F121" s="146">
        <f t="shared" si="19"/>
        <v>-15234.73</v>
      </c>
      <c r="H121" s="1">
        <f t="shared" si="20"/>
        <v>-6159626.7899999991</v>
      </c>
    </row>
    <row r="122" spans="1:8" x14ac:dyDescent="0.2">
      <c r="A122" s="164">
        <f>'FERC Interest Rates'!A122</f>
        <v>44712</v>
      </c>
      <c r="B122" s="162"/>
      <c r="C122" s="162"/>
      <c r="D122" s="146">
        <f>1495090.85-336374.2</f>
        <v>1158716.6500000001</v>
      </c>
      <c r="E122" s="162"/>
      <c r="F122" s="146">
        <f t="shared" si="19"/>
        <v>-17002.259999999998</v>
      </c>
      <c r="H122" s="1">
        <f t="shared" si="20"/>
        <v>-5017912.3999999985</v>
      </c>
    </row>
    <row r="123" spans="1:8" x14ac:dyDescent="0.2">
      <c r="A123" s="164">
        <f>'FERC Interest Rates'!A123</f>
        <v>44742</v>
      </c>
      <c r="B123" s="162"/>
      <c r="C123" s="162"/>
      <c r="D123" s="146">
        <f>2559931.4-336374.2</f>
        <v>2223557.1999999997</v>
      </c>
      <c r="E123" s="162"/>
      <c r="F123" s="146">
        <f t="shared" si="19"/>
        <v>-13404.01</v>
      </c>
      <c r="H123" s="1">
        <f t="shared" si="20"/>
        <v>-2807759.2099999986</v>
      </c>
    </row>
  </sheetData>
  <mergeCells count="24">
    <mergeCell ref="C1:H1"/>
    <mergeCell ref="C3:H3"/>
    <mergeCell ref="C4:H4"/>
    <mergeCell ref="C5:H5"/>
    <mergeCell ref="A1:B1"/>
    <mergeCell ref="A2:B2"/>
    <mergeCell ref="C2:H2"/>
    <mergeCell ref="A3:B3"/>
    <mergeCell ref="A5:B5"/>
    <mergeCell ref="A4:B4"/>
    <mergeCell ref="A115:F115"/>
    <mergeCell ref="A6:B6"/>
    <mergeCell ref="A11:G11"/>
    <mergeCell ref="A7:B7"/>
    <mergeCell ref="C7:H7"/>
    <mergeCell ref="A48:F48"/>
    <mergeCell ref="A35:F35"/>
    <mergeCell ref="A24:F24"/>
    <mergeCell ref="A102:F102"/>
    <mergeCell ref="A89:F89"/>
    <mergeCell ref="A76:F76"/>
    <mergeCell ref="A63:F63"/>
    <mergeCell ref="C6:H6"/>
    <mergeCell ref="D9:F9"/>
  </mergeCells>
  <phoneticPr fontId="0" type="noConversion"/>
  <printOptions horizontalCentered="1"/>
  <pageMargins left="0.5" right="0.25" top="0.5" bottom="0.25" header="0.3" footer="0.3"/>
  <pageSetup scale="89" orientation="portrait" r:id="rId1"/>
  <headerFooter>
    <oddFooter>&amp;L&amp;"-,Bold"&amp;10Cascade Natural Gas Corporation&amp;C&amp;"-,Bold"&amp;10&amp;P of &amp;N&amp;R&amp;"-,Bold"&amp;10Washington Deferral Accounts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FE2EF-7B1F-42B9-AE8C-20938B37F425}">
  <dimension ref="B1:X105"/>
  <sheetViews>
    <sheetView showGridLines="0" topLeftCell="B1" zoomScale="115" zoomScaleNormal="115" workbookViewId="0">
      <selection activeCell="J8" sqref="J8"/>
    </sheetView>
  </sheetViews>
  <sheetFormatPr defaultRowHeight="15" x14ac:dyDescent="0.2"/>
  <cols>
    <col min="1" max="1" width="1.77734375" style="187" customWidth="1"/>
    <col min="2" max="2" width="16.88671875" style="188" customWidth="1"/>
    <col min="3" max="3" width="20.33203125" style="204" customWidth="1"/>
    <col min="4" max="4" width="2.77734375" style="198" hidden="1" customWidth="1"/>
    <col min="5" max="5" width="3.109375" style="198" bestFit="1" customWidth="1"/>
    <col min="6" max="6" width="10.6640625" style="198" customWidth="1"/>
    <col min="7" max="7" width="11.6640625" style="251" bestFit="1" customWidth="1"/>
    <col min="8" max="8" width="9.77734375" style="252" customWidth="1"/>
    <col min="9" max="9" width="11.6640625" style="252" bestFit="1" customWidth="1"/>
    <col min="10" max="10" width="10.88671875" style="252" bestFit="1" customWidth="1"/>
    <col min="11" max="12" width="12.5546875" style="252" bestFit="1" customWidth="1"/>
    <col min="13" max="13" width="11.33203125" style="252" bestFit="1" customWidth="1"/>
    <col min="14" max="14" width="13.109375" style="252" bestFit="1" customWidth="1"/>
    <col min="15" max="15" width="6.44140625" style="252" hidden="1" customWidth="1"/>
    <col min="16" max="16" width="1.33203125" style="187" customWidth="1"/>
    <col min="17" max="17" width="12.77734375" style="187" hidden="1" customWidth="1"/>
    <col min="18" max="18" width="11.44140625" style="187" hidden="1" customWidth="1"/>
    <col min="19" max="19" width="7.5546875" style="187" hidden="1" customWidth="1"/>
    <col min="20" max="20" width="10.77734375" style="187" hidden="1" customWidth="1"/>
    <col min="21" max="21" width="10" style="187" hidden="1" customWidth="1"/>
    <col min="22" max="22" width="5.5546875" style="187" customWidth="1"/>
    <col min="23" max="23" width="4.109375" style="202" bestFit="1" customWidth="1"/>
    <col min="24" max="24" width="11.44140625" style="186" bestFit="1" customWidth="1"/>
    <col min="25" max="16384" width="8.88671875" style="187"/>
  </cols>
  <sheetData>
    <row r="1" spans="2:24" ht="14.25" customHeight="1" x14ac:dyDescent="0.2">
      <c r="B1" s="190" t="s">
        <v>216</v>
      </c>
      <c r="C1" s="197"/>
      <c r="E1" s="619" t="s">
        <v>217</v>
      </c>
      <c r="F1" s="619"/>
      <c r="G1" s="619"/>
      <c r="H1" s="619"/>
      <c r="I1" s="619"/>
      <c r="J1" s="619"/>
      <c r="K1" s="619"/>
      <c r="L1" s="618"/>
      <c r="M1" s="618"/>
      <c r="N1" s="618"/>
      <c r="O1" s="618"/>
      <c r="P1" s="618"/>
      <c r="Q1" s="199"/>
      <c r="R1" s="199"/>
      <c r="S1" s="199"/>
      <c r="T1" s="199"/>
      <c r="U1" s="199"/>
      <c r="V1" s="199"/>
      <c r="W1" s="200"/>
      <c r="X1" s="201"/>
    </row>
    <row r="2" spans="2:24" ht="14.25" customHeight="1" x14ac:dyDescent="0.25">
      <c r="B2" s="190" t="s">
        <v>218</v>
      </c>
      <c r="C2" s="197"/>
      <c r="D2" s="199"/>
      <c r="E2" s="619"/>
      <c r="F2" s="619"/>
      <c r="G2" s="619"/>
      <c r="H2" s="619"/>
      <c r="I2" s="619"/>
      <c r="J2" s="619"/>
      <c r="K2" s="619"/>
      <c r="L2" s="620" t="s">
        <v>219</v>
      </c>
      <c r="M2" s="620"/>
      <c r="N2" s="620"/>
      <c r="O2" s="620"/>
      <c r="P2" s="620"/>
    </row>
    <row r="3" spans="2:24" ht="14.25" customHeight="1" x14ac:dyDescent="0.25">
      <c r="B3" s="621" t="s">
        <v>220</v>
      </c>
      <c r="C3" s="621"/>
      <c r="D3" s="199"/>
      <c r="E3" s="203"/>
      <c r="F3" s="622">
        <f>'Core Cost Incurred'!B2</f>
        <v>44737</v>
      </c>
      <c r="G3" s="622"/>
      <c r="H3" s="622"/>
      <c r="I3" s="622"/>
      <c r="J3" s="622"/>
      <c r="K3" s="622"/>
      <c r="L3" s="623" t="s">
        <v>221</v>
      </c>
      <c r="M3" s="623"/>
      <c r="N3" s="623"/>
      <c r="O3" s="623"/>
      <c r="P3" s="623"/>
    </row>
    <row r="4" spans="2:24" ht="14.25" customHeight="1" x14ac:dyDescent="0.25">
      <c r="B4" s="621" t="s">
        <v>222</v>
      </c>
      <c r="C4" s="621"/>
      <c r="D4" s="199"/>
      <c r="E4" s="203"/>
      <c r="F4" s="622"/>
      <c r="G4" s="622"/>
      <c r="H4" s="622"/>
      <c r="I4" s="622"/>
      <c r="J4" s="622"/>
      <c r="K4" s="622"/>
      <c r="L4" s="624" t="s">
        <v>223</v>
      </c>
      <c r="M4" s="624"/>
      <c r="N4" s="624"/>
      <c r="O4" s="624"/>
      <c r="P4" s="624"/>
    </row>
    <row r="5" spans="2:24" ht="14.25" customHeight="1" x14ac:dyDescent="0.2">
      <c r="D5" s="199"/>
      <c r="E5" s="203"/>
      <c r="F5" s="203"/>
      <c r="G5" s="203"/>
      <c r="H5" s="203"/>
      <c r="I5" s="203"/>
      <c r="J5" s="203"/>
      <c r="K5" s="203"/>
      <c r="L5" s="618"/>
      <c r="M5" s="618"/>
      <c r="N5" s="618"/>
      <c r="O5" s="618"/>
      <c r="P5" s="618"/>
      <c r="Q5" s="199"/>
      <c r="R5" s="199"/>
      <c r="S5" s="199"/>
      <c r="T5" s="199"/>
      <c r="U5" s="199"/>
      <c r="V5" s="199"/>
      <c r="W5" s="200"/>
      <c r="X5" s="201"/>
    </row>
    <row r="6" spans="2:24" x14ac:dyDescent="0.25">
      <c r="B6" s="205"/>
      <c r="C6" s="206"/>
      <c r="D6" s="207"/>
      <c r="E6" s="207"/>
      <c r="F6" s="207"/>
      <c r="G6" s="208" t="s">
        <v>224</v>
      </c>
      <c r="H6" s="209" t="s">
        <v>201</v>
      </c>
      <c r="I6" s="209" t="s">
        <v>202</v>
      </c>
      <c r="J6" s="209" t="s">
        <v>225</v>
      </c>
      <c r="K6" s="209" t="s">
        <v>201</v>
      </c>
      <c r="L6" s="209" t="s">
        <v>202</v>
      </c>
      <c r="M6" s="209"/>
      <c r="N6" s="209" t="s">
        <v>3</v>
      </c>
      <c r="O6" s="210"/>
      <c r="Q6" s="211"/>
      <c r="R6" s="212">
        <v>200294.94</v>
      </c>
      <c r="S6" s="211"/>
      <c r="T6" s="211"/>
      <c r="U6" s="212">
        <v>140046.39000000001</v>
      </c>
      <c r="V6" s="211"/>
      <c r="W6" s="213"/>
      <c r="X6" s="214"/>
    </row>
    <row r="7" spans="2:24" x14ac:dyDescent="0.25">
      <c r="B7" s="215"/>
      <c r="C7" s="216"/>
      <c r="D7" s="217"/>
      <c r="E7" s="217"/>
      <c r="F7" s="218" t="s">
        <v>226</v>
      </c>
      <c r="G7" s="208" t="s">
        <v>12</v>
      </c>
      <c r="H7" s="209" t="s">
        <v>227</v>
      </c>
      <c r="I7" s="209" t="s">
        <v>227</v>
      </c>
      <c r="J7" s="209" t="s">
        <v>24</v>
      </c>
      <c r="K7" s="209" t="s">
        <v>228</v>
      </c>
      <c r="L7" s="209" t="s">
        <v>228</v>
      </c>
      <c r="M7" s="209" t="s">
        <v>225</v>
      </c>
      <c r="N7" s="209" t="s">
        <v>225</v>
      </c>
      <c r="O7" s="210"/>
      <c r="Q7" s="212">
        <v>11214374</v>
      </c>
      <c r="R7" s="212">
        <f>2345597.06+78799.97+56688.77</f>
        <v>2481085.8000000003</v>
      </c>
      <c r="S7" s="211"/>
      <c r="T7" s="212">
        <v>2845776</v>
      </c>
      <c r="U7" s="212">
        <v>459339.89</v>
      </c>
      <c r="V7" s="211"/>
      <c r="W7" s="213"/>
      <c r="X7" s="214"/>
    </row>
    <row r="8" spans="2:24" s="225" customFormat="1" x14ac:dyDescent="0.2">
      <c r="B8" s="219"/>
      <c r="C8" s="220"/>
      <c r="D8" s="219" t="s">
        <v>229</v>
      </c>
      <c r="E8" s="221" t="s">
        <v>230</v>
      </c>
      <c r="F8" s="221" t="s">
        <v>230</v>
      </c>
      <c r="G8" s="222" t="s">
        <v>231</v>
      </c>
      <c r="H8" s="223" t="s">
        <v>232</v>
      </c>
      <c r="I8" s="223" t="str">
        <f>+H8</f>
        <v>Nov 1 2021</v>
      </c>
      <c r="J8" s="223" t="s">
        <v>233</v>
      </c>
      <c r="K8" s="224" t="s">
        <v>234</v>
      </c>
      <c r="L8" s="224" t="s">
        <v>234</v>
      </c>
      <c r="M8" s="224" t="s">
        <v>24</v>
      </c>
      <c r="N8" s="224" t="s">
        <v>234</v>
      </c>
      <c r="O8" s="210"/>
      <c r="P8" s="187"/>
      <c r="W8" s="226"/>
      <c r="X8" s="214">
        <v>1501</v>
      </c>
    </row>
    <row r="9" spans="2:24" ht="15.75" hidden="1" x14ac:dyDescent="0.25">
      <c r="B9" s="227" t="s">
        <v>27</v>
      </c>
      <c r="C9" s="204" t="s">
        <v>235</v>
      </c>
      <c r="D9" s="191">
        <v>1</v>
      </c>
      <c r="E9" s="198" t="s">
        <v>236</v>
      </c>
      <c r="F9" s="198" t="s">
        <v>237</v>
      </c>
      <c r="G9" s="228">
        <v>0</v>
      </c>
      <c r="H9" s="229"/>
      <c r="I9" s="229"/>
      <c r="J9" s="229"/>
      <c r="K9" s="230">
        <f>ROUND(H9*G9,2)</f>
        <v>0</v>
      </c>
      <c r="L9" s="230">
        <f>ROUND(G9*I9,2)</f>
        <v>0</v>
      </c>
      <c r="M9" s="231">
        <f>ROUND(G9*J9,2)</f>
        <v>0</v>
      </c>
      <c r="N9" s="230">
        <f>SUM(K9:M9)</f>
        <v>0</v>
      </c>
      <c r="O9" s="232"/>
      <c r="Q9" s="233">
        <f>+-1529533-194708</f>
        <v>-1724241</v>
      </c>
      <c r="R9" s="233">
        <f>+-304369.99-70364.48</f>
        <v>-374734.47</v>
      </c>
      <c r="S9" s="194"/>
      <c r="T9" s="234">
        <f>+-505447-64182</f>
        <v>-569629</v>
      </c>
      <c r="U9" s="234">
        <f>+-100581.61-23194.4</f>
        <v>-123776.01000000001</v>
      </c>
      <c r="X9" s="235"/>
    </row>
    <row r="10" spans="2:24" ht="15.75" x14ac:dyDescent="0.25">
      <c r="B10" s="227" t="s">
        <v>27</v>
      </c>
      <c r="C10" s="204" t="s">
        <v>238</v>
      </c>
      <c r="D10" s="191">
        <v>1</v>
      </c>
      <c r="E10" s="198" t="s">
        <v>136</v>
      </c>
      <c r="F10" s="198" t="s">
        <v>239</v>
      </c>
      <c r="G10" s="236">
        <f>+X10</f>
        <v>6329476</v>
      </c>
      <c r="H10" s="237">
        <v>0.31553999999999999</v>
      </c>
      <c r="I10" s="237">
        <v>0.17981</v>
      </c>
      <c r="J10" s="523">
        <f>0.12954</f>
        <v>0.12953999999999999</v>
      </c>
      <c r="K10" s="230">
        <f>ROUND(H10*G10,2)</f>
        <v>1997202.86</v>
      </c>
      <c r="L10" s="230">
        <f>ROUND(G10*I10,2)</f>
        <v>1138103.08</v>
      </c>
      <c r="M10" s="238">
        <f>ROUND(G10*J10,2)</f>
        <v>819920.32</v>
      </c>
      <c r="N10" s="239">
        <f>SUM(K10:M10)</f>
        <v>3955226.2600000002</v>
      </c>
      <c r="O10" s="232"/>
      <c r="Q10" s="234"/>
      <c r="R10" s="234"/>
      <c r="S10" s="234"/>
      <c r="T10" s="234"/>
      <c r="U10" s="234"/>
      <c r="V10" s="240">
        <v>4800</v>
      </c>
      <c r="W10" s="241">
        <v>503</v>
      </c>
      <c r="X10" s="242">
        <v>6329476</v>
      </c>
    </row>
    <row r="11" spans="2:24" ht="15.75" x14ac:dyDescent="0.25">
      <c r="B11" s="227" t="s">
        <v>240</v>
      </c>
      <c r="C11" s="204" t="s">
        <v>241</v>
      </c>
      <c r="D11" s="191">
        <v>1</v>
      </c>
      <c r="E11" s="198" t="s">
        <v>136</v>
      </c>
      <c r="F11" s="198" t="s">
        <v>239</v>
      </c>
      <c r="G11" s="243">
        <v>-5057385</v>
      </c>
      <c r="H11" s="244">
        <f>$H$10</f>
        <v>0.31553999999999999</v>
      </c>
      <c r="I11" s="244">
        <f>$I$10</f>
        <v>0.17981</v>
      </c>
      <c r="J11" s="244">
        <f>+$J$10</f>
        <v>0.12953999999999999</v>
      </c>
      <c r="K11" s="230">
        <f>ROUND(H11*G11,2)</f>
        <v>-1595807.26</v>
      </c>
      <c r="L11" s="230">
        <f>ROUND(G11*I11,2)</f>
        <v>-909368.4</v>
      </c>
      <c r="M11" s="238"/>
      <c r="N11" s="239">
        <f>SUM(K11:M11)</f>
        <v>-2505175.66</v>
      </c>
      <c r="O11" s="232"/>
      <c r="Q11" s="234"/>
      <c r="R11" s="234"/>
      <c r="S11" s="234"/>
      <c r="T11" s="234"/>
      <c r="U11" s="234"/>
      <c r="V11" s="240">
        <v>4809</v>
      </c>
      <c r="W11" s="241">
        <v>505</v>
      </c>
      <c r="X11" s="242">
        <v>757107</v>
      </c>
    </row>
    <row r="12" spans="2:24" ht="15.75" x14ac:dyDescent="0.25">
      <c r="B12" s="227" t="s">
        <v>240</v>
      </c>
      <c r="C12" s="204" t="s">
        <v>242</v>
      </c>
      <c r="D12" s="191">
        <v>1</v>
      </c>
      <c r="E12" s="198" t="s">
        <v>136</v>
      </c>
      <c r="F12" s="198" t="s">
        <v>239</v>
      </c>
      <c r="G12" s="243">
        <f>+X21</f>
        <v>2359004</v>
      </c>
      <c r="H12" s="244">
        <f>$H$10</f>
        <v>0.31553999999999999</v>
      </c>
      <c r="I12" s="244">
        <f>$I$10</f>
        <v>0.17981</v>
      </c>
      <c r="J12" s="244">
        <f>+$J$10</f>
        <v>0.12953999999999999</v>
      </c>
      <c r="K12" s="230">
        <f>ROUND(H12*G12,2)</f>
        <v>744360.12</v>
      </c>
      <c r="L12" s="230">
        <f>ROUND(G12*I12,2)</f>
        <v>424172.51</v>
      </c>
      <c r="M12" s="238"/>
      <c r="N12" s="239">
        <f>SUM(K12:M12)</f>
        <v>1168532.6299999999</v>
      </c>
      <c r="O12" s="232"/>
      <c r="Q12" s="234"/>
      <c r="R12" s="234"/>
      <c r="S12" s="234"/>
      <c r="T12" s="234"/>
      <c r="U12" s="234"/>
      <c r="V12" s="240">
        <v>4809</v>
      </c>
      <c r="W12" s="241">
        <v>511</v>
      </c>
      <c r="X12" s="242">
        <v>387432</v>
      </c>
    </row>
    <row r="13" spans="2:24" ht="15" customHeight="1" x14ac:dyDescent="0.25">
      <c r="B13" s="227"/>
      <c r="D13" s="191"/>
      <c r="G13" s="228"/>
      <c r="H13" s="244"/>
      <c r="I13" s="244"/>
      <c r="J13" s="244"/>
      <c r="K13" s="230"/>
      <c r="L13" s="230"/>
      <c r="M13" s="238"/>
      <c r="N13" s="239"/>
      <c r="O13" s="232"/>
      <c r="Q13" s="194"/>
      <c r="R13" s="194"/>
      <c r="S13" s="194"/>
      <c r="T13" s="194"/>
      <c r="U13" s="194"/>
      <c r="V13" s="240">
        <v>4810</v>
      </c>
      <c r="W13" s="241" t="s">
        <v>105</v>
      </c>
      <c r="X13" s="242">
        <v>5884</v>
      </c>
    </row>
    <row r="14" spans="2:24" ht="15.75" x14ac:dyDescent="0.25">
      <c r="B14" s="227" t="s">
        <v>28</v>
      </c>
      <c r="C14" s="204" t="s">
        <v>243</v>
      </c>
      <c r="D14" s="191">
        <v>2</v>
      </c>
      <c r="E14" s="198" t="s">
        <v>135</v>
      </c>
      <c r="F14" s="198" t="s">
        <v>244</v>
      </c>
      <c r="G14" s="236">
        <f>+X15</f>
        <v>4956571</v>
      </c>
      <c r="H14" s="244">
        <f t="shared" ref="H14:H16" si="0">$H$10</f>
        <v>0.31553999999999999</v>
      </c>
      <c r="I14" s="237">
        <v>0.17710999999999999</v>
      </c>
      <c r="J14" s="244">
        <f t="shared" ref="J14:J16" si="1">+$J$10</f>
        <v>0.12953999999999999</v>
      </c>
      <c r="K14" s="230">
        <f>ROUND(H14*G14,2)</f>
        <v>1563996.41</v>
      </c>
      <c r="L14" s="230">
        <f>ROUND(G14*I14,2)</f>
        <v>877858.29</v>
      </c>
      <c r="M14" s="238">
        <f>ROUND(G14*J14,2)</f>
        <v>642074.21</v>
      </c>
      <c r="N14" s="239">
        <f>SUM(K14:M14)</f>
        <v>3083928.91</v>
      </c>
      <c r="O14" s="245">
        <v>-0.02</v>
      </c>
      <c r="Q14" s="194" t="s">
        <v>245</v>
      </c>
      <c r="R14" s="194"/>
      <c r="S14" s="194"/>
      <c r="T14" s="194"/>
      <c r="U14" s="194"/>
      <c r="V14" s="240">
        <v>4810</v>
      </c>
      <c r="W14" s="241" t="s">
        <v>246</v>
      </c>
      <c r="X14" s="242">
        <v>41296</v>
      </c>
    </row>
    <row r="15" spans="2:24" ht="15.75" x14ac:dyDescent="0.25">
      <c r="B15" s="227" t="s">
        <v>247</v>
      </c>
      <c r="C15" s="204" t="s">
        <v>248</v>
      </c>
      <c r="D15" s="191">
        <v>2</v>
      </c>
      <c r="E15" s="198" t="s">
        <v>135</v>
      </c>
      <c r="F15" s="198" t="s">
        <v>244</v>
      </c>
      <c r="G15" s="243">
        <v>-4060717</v>
      </c>
      <c r="H15" s="244">
        <f t="shared" si="0"/>
        <v>0.31553999999999999</v>
      </c>
      <c r="I15" s="244">
        <f>+$I$14</f>
        <v>0.17710999999999999</v>
      </c>
      <c r="J15" s="244">
        <f t="shared" si="1"/>
        <v>0.12953999999999999</v>
      </c>
      <c r="K15" s="230">
        <f>ROUND(H15*G15,2)</f>
        <v>-1281318.6399999999</v>
      </c>
      <c r="L15" s="230">
        <f>ROUND(G15*I15,2)</f>
        <v>-719193.59</v>
      </c>
      <c r="M15" s="238"/>
      <c r="N15" s="239">
        <f>SUM(K15:M15)</f>
        <v>-2000512.23</v>
      </c>
      <c r="O15" s="245"/>
      <c r="Q15" s="194" t="s">
        <v>249</v>
      </c>
      <c r="R15" s="194">
        <f>101807.82+3135667.8</f>
        <v>3237475.6199999996</v>
      </c>
      <c r="S15" s="194"/>
      <c r="T15" s="194"/>
      <c r="U15" s="234">
        <f>242253.38+412186.68</f>
        <v>654440.06000000006</v>
      </c>
      <c r="V15" s="240">
        <v>4810</v>
      </c>
      <c r="W15" s="241">
        <v>504</v>
      </c>
      <c r="X15" s="242">
        <v>4956571</v>
      </c>
    </row>
    <row r="16" spans="2:24" ht="15.75" x14ac:dyDescent="0.25">
      <c r="B16" s="227" t="s">
        <v>247</v>
      </c>
      <c r="C16" s="204" t="s">
        <v>250</v>
      </c>
      <c r="D16" s="191">
        <v>2</v>
      </c>
      <c r="E16" s="198" t="s">
        <v>135</v>
      </c>
      <c r="F16" s="198" t="s">
        <v>244</v>
      </c>
      <c r="G16" s="243">
        <f>+X22</f>
        <v>2056705</v>
      </c>
      <c r="H16" s="244">
        <f t="shared" si="0"/>
        <v>0.31553999999999999</v>
      </c>
      <c r="I16" s="244">
        <f>+$I$14</f>
        <v>0.17710999999999999</v>
      </c>
      <c r="J16" s="244">
        <f t="shared" si="1"/>
        <v>0.12953999999999999</v>
      </c>
      <c r="K16" s="230">
        <f>ROUND(H16*G16,2)</f>
        <v>648972.69999999995</v>
      </c>
      <c r="L16" s="230">
        <f>ROUND(G16*I16,2)</f>
        <v>364263.02</v>
      </c>
      <c r="M16" s="238"/>
      <c r="N16" s="239">
        <f>SUM(K16:M16)</f>
        <v>1013235.72</v>
      </c>
      <c r="O16" s="232"/>
      <c r="Q16" s="194" t="s">
        <v>249</v>
      </c>
      <c r="R16" s="194">
        <v>55387.57</v>
      </c>
      <c r="S16" s="194"/>
      <c r="T16" s="194"/>
      <c r="U16" s="234">
        <v>7182.43</v>
      </c>
      <c r="V16" s="240">
        <v>4810</v>
      </c>
      <c r="W16" s="241">
        <v>511</v>
      </c>
      <c r="X16" s="242">
        <v>579466</v>
      </c>
    </row>
    <row r="17" spans="2:24" x14ac:dyDescent="0.2">
      <c r="B17" s="227"/>
      <c r="D17" s="191"/>
      <c r="G17" s="198"/>
      <c r="H17" s="244"/>
      <c r="I17" s="244"/>
      <c r="J17" s="244"/>
      <c r="K17" s="230"/>
      <c r="L17" s="230"/>
      <c r="M17" s="238"/>
      <c r="N17" s="239"/>
      <c r="O17" s="232"/>
      <c r="Q17" s="194"/>
      <c r="R17" s="194"/>
      <c r="S17" s="194"/>
      <c r="T17" s="194"/>
      <c r="U17" s="234"/>
      <c r="V17" s="240">
        <v>4811</v>
      </c>
      <c r="W17" s="241" t="s">
        <v>106</v>
      </c>
      <c r="X17" s="246"/>
    </row>
    <row r="18" spans="2:24" ht="15.75" x14ac:dyDescent="0.25">
      <c r="B18" s="227" t="s">
        <v>29</v>
      </c>
      <c r="C18" s="204" t="s">
        <v>251</v>
      </c>
      <c r="D18" s="191">
        <v>3</v>
      </c>
      <c r="E18" s="198" t="s">
        <v>134</v>
      </c>
      <c r="F18" s="198" t="s">
        <v>252</v>
      </c>
      <c r="G18" s="236">
        <f>+X11</f>
        <v>757107</v>
      </c>
      <c r="H18" s="244">
        <f t="shared" ref="H18:H28" si="2">$H$10</f>
        <v>0.31553999999999999</v>
      </c>
      <c r="I18" s="237">
        <v>0.16378000000000001</v>
      </c>
      <c r="J18" s="244">
        <f t="shared" ref="J18:J28" si="3">+$J$10</f>
        <v>0.12953999999999999</v>
      </c>
      <c r="K18" s="230">
        <f>ROUND(H18*G18,2)</f>
        <v>238897.54</v>
      </c>
      <c r="L18" s="230">
        <f>ROUND(G18*I18,2)</f>
        <v>123998.98</v>
      </c>
      <c r="M18" s="238">
        <f>ROUND(G18*J18,2)</f>
        <v>98075.64</v>
      </c>
      <c r="N18" s="239">
        <f>SUM(K18:M18)</f>
        <v>460972.16000000003</v>
      </c>
      <c r="O18" s="232"/>
      <c r="Q18" s="194"/>
      <c r="R18" s="194"/>
      <c r="S18" s="194"/>
      <c r="T18" s="194"/>
      <c r="U18" s="234"/>
      <c r="V18" s="240">
        <v>4813</v>
      </c>
      <c r="W18" s="241">
        <v>570</v>
      </c>
      <c r="X18" s="242">
        <v>179840</v>
      </c>
    </row>
    <row r="19" spans="2:24" ht="15.75" x14ac:dyDescent="0.25">
      <c r="B19" s="227" t="s">
        <v>29</v>
      </c>
      <c r="C19" s="204" t="s">
        <v>253</v>
      </c>
      <c r="D19" s="191">
        <v>3</v>
      </c>
      <c r="E19" s="198" t="s">
        <v>137</v>
      </c>
      <c r="F19" s="198" t="s">
        <v>254</v>
      </c>
      <c r="G19" s="236">
        <f>+'WA Rates'!X12</f>
        <v>387432</v>
      </c>
      <c r="H19" s="244">
        <f t="shared" si="2"/>
        <v>0.31553999999999999</v>
      </c>
      <c r="I19" s="244">
        <f>+I18</f>
        <v>0.16378000000000001</v>
      </c>
      <c r="J19" s="244">
        <f t="shared" si="3"/>
        <v>0.12953999999999999</v>
      </c>
      <c r="K19" s="230">
        <f>ROUND(H19*G19,2)</f>
        <v>122250.29</v>
      </c>
      <c r="L19" s="230">
        <f>ROUND(G19*I19,2)</f>
        <v>63453.61</v>
      </c>
      <c r="M19" s="238">
        <f>ROUND(G19*J19,2)</f>
        <v>50187.94</v>
      </c>
      <c r="N19" s="239">
        <f>SUM(K19:M19)</f>
        <v>235891.84</v>
      </c>
      <c r="O19" s="232"/>
      <c r="Q19" s="194"/>
      <c r="R19" s="194"/>
      <c r="S19" s="194"/>
      <c r="T19" s="194"/>
      <c r="U19" s="234"/>
      <c r="V19" s="240"/>
      <c r="W19" s="241"/>
      <c r="X19" s="240"/>
    </row>
    <row r="20" spans="2:24" ht="15.75" x14ac:dyDescent="0.25">
      <c r="B20" s="227" t="s">
        <v>28</v>
      </c>
      <c r="C20" s="204" t="s">
        <v>255</v>
      </c>
      <c r="D20" s="191">
        <v>2</v>
      </c>
      <c r="E20" s="198" t="s">
        <v>137</v>
      </c>
      <c r="F20" s="198" t="s">
        <v>254</v>
      </c>
      <c r="G20" s="236">
        <f>+X16</f>
        <v>579466</v>
      </c>
      <c r="H20" s="244">
        <f t="shared" si="2"/>
        <v>0.31553999999999999</v>
      </c>
      <c r="I20" s="244">
        <f>+I18</f>
        <v>0.16378000000000001</v>
      </c>
      <c r="J20" s="244">
        <f t="shared" si="3"/>
        <v>0.12953999999999999</v>
      </c>
      <c r="K20" s="230">
        <f>ROUND(H20*G20,2)</f>
        <v>182844.7</v>
      </c>
      <c r="L20" s="230">
        <f>ROUND(G20*I20,2)</f>
        <v>94904.94</v>
      </c>
      <c r="M20" s="238">
        <f>ROUND(G20*J20,2)</f>
        <v>75064.03</v>
      </c>
      <c r="N20" s="239">
        <f>SUM(K20:M20)</f>
        <v>352813.67000000004</v>
      </c>
      <c r="O20" s="232"/>
      <c r="Q20" s="194"/>
      <c r="R20" s="194"/>
      <c r="S20" s="194"/>
      <c r="T20" s="194"/>
      <c r="U20" s="234"/>
      <c r="V20" s="240"/>
      <c r="W20" s="241"/>
      <c r="X20" s="214" t="s">
        <v>256</v>
      </c>
    </row>
    <row r="21" spans="2:24" ht="15.75" x14ac:dyDescent="0.25">
      <c r="B21" s="227"/>
      <c r="D21" s="191"/>
      <c r="G21" s="198"/>
      <c r="H21" s="244"/>
      <c r="I21" s="244"/>
      <c r="J21" s="244"/>
      <c r="K21" s="230"/>
      <c r="L21" s="230"/>
      <c r="M21" s="238"/>
      <c r="N21" s="239"/>
      <c r="O21" s="232"/>
      <c r="Q21" s="194"/>
      <c r="R21" s="194"/>
      <c r="S21" s="194"/>
      <c r="T21" s="194"/>
      <c r="U21" s="234"/>
      <c r="V21" s="240"/>
      <c r="W21" s="241"/>
      <c r="X21" s="247">
        <v>2359004</v>
      </c>
    </row>
    <row r="22" spans="2:24" ht="15" customHeight="1" x14ac:dyDescent="0.25">
      <c r="B22" s="227" t="s">
        <v>28</v>
      </c>
      <c r="C22" s="204" t="s">
        <v>255</v>
      </c>
      <c r="D22" s="191">
        <v>2</v>
      </c>
      <c r="E22" s="198" t="s">
        <v>137</v>
      </c>
      <c r="F22" s="198" t="s">
        <v>257</v>
      </c>
      <c r="G22" s="236">
        <f>+X13</f>
        <v>5884</v>
      </c>
      <c r="H22" s="244">
        <f t="shared" si="2"/>
        <v>0.31553999999999999</v>
      </c>
      <c r="I22" s="244">
        <f>+I14</f>
        <v>0.17710999999999999</v>
      </c>
      <c r="J22" s="244">
        <f t="shared" si="3"/>
        <v>0.12953999999999999</v>
      </c>
      <c r="K22" s="230">
        <f>ROUND(H22*G22,2)</f>
        <v>1856.64</v>
      </c>
      <c r="L22" s="230">
        <f>ROUND(G22*I22,2)</f>
        <v>1042.1199999999999</v>
      </c>
      <c r="M22" s="238">
        <f>ROUND(G22*J22,2)</f>
        <v>762.21</v>
      </c>
      <c r="N22" s="239">
        <f>SUM(K22:M22)</f>
        <v>3660.9700000000003</v>
      </c>
      <c r="O22" s="232"/>
      <c r="Q22" s="195"/>
      <c r="R22" s="195"/>
      <c r="S22" s="195"/>
      <c r="T22" s="195"/>
      <c r="U22" s="234"/>
      <c r="V22" s="240"/>
      <c r="W22" s="241"/>
      <c r="X22" s="243">
        <v>2056705</v>
      </c>
    </row>
    <row r="23" spans="2:24" ht="15.75" x14ac:dyDescent="0.25">
      <c r="B23" s="227" t="s">
        <v>247</v>
      </c>
      <c r="C23" s="204" t="s">
        <v>258</v>
      </c>
      <c r="D23" s="191">
        <v>2</v>
      </c>
      <c r="E23" s="198" t="s">
        <v>137</v>
      </c>
      <c r="F23" s="198" t="s">
        <v>257</v>
      </c>
      <c r="G23" s="248">
        <v>-5884</v>
      </c>
      <c r="H23" s="244">
        <f t="shared" si="2"/>
        <v>0.31553999999999999</v>
      </c>
      <c r="I23" s="244">
        <f>+I14</f>
        <v>0.17710999999999999</v>
      </c>
      <c r="J23" s="244">
        <f t="shared" si="3"/>
        <v>0.12953999999999999</v>
      </c>
      <c r="K23" s="230">
        <f>ROUND(H23*G23,2)</f>
        <v>-1856.64</v>
      </c>
      <c r="L23" s="230">
        <f>ROUND(G23*I23,2)</f>
        <v>-1042.1199999999999</v>
      </c>
      <c r="M23" s="238">
        <f>ROUND(G23*J23,2)</f>
        <v>-762.21</v>
      </c>
      <c r="N23" s="239">
        <f>SUM(K23:M23)</f>
        <v>-3660.9700000000003</v>
      </c>
      <c r="O23" s="245">
        <v>2.0699999999999998</v>
      </c>
      <c r="Q23" s="194" t="s">
        <v>245</v>
      </c>
      <c r="R23" s="194">
        <v>625208.07999999996</v>
      </c>
      <c r="S23" s="194"/>
      <c r="T23" s="194"/>
      <c r="U23" s="234">
        <f>44136.69+5300</f>
        <v>49436.69</v>
      </c>
      <c r="V23" s="240"/>
      <c r="W23" s="241"/>
      <c r="X23" s="240"/>
    </row>
    <row r="24" spans="2:24" ht="15.75" x14ac:dyDescent="0.25">
      <c r="B24" s="227" t="s">
        <v>247</v>
      </c>
      <c r="C24" s="204" t="s">
        <v>259</v>
      </c>
      <c r="D24" s="191">
        <v>2</v>
      </c>
      <c r="E24" s="198" t="s">
        <v>137</v>
      </c>
      <c r="F24" s="198" t="s">
        <v>257</v>
      </c>
      <c r="G24" s="248">
        <f>+X25</f>
        <v>2608</v>
      </c>
      <c r="H24" s="244">
        <f t="shared" si="2"/>
        <v>0.31553999999999999</v>
      </c>
      <c r="I24" s="244">
        <f>+I14</f>
        <v>0.17710999999999999</v>
      </c>
      <c r="J24" s="244">
        <f t="shared" si="3"/>
        <v>0.12953999999999999</v>
      </c>
      <c r="K24" s="230">
        <f t="shared" ref="K24" si="4">ROUND(H24*G24,2)</f>
        <v>822.93</v>
      </c>
      <c r="L24" s="230">
        <f t="shared" ref="L24" si="5">ROUND(G24*I24,2)</f>
        <v>461.9</v>
      </c>
      <c r="M24" s="238">
        <f t="shared" ref="M24" si="6">ROUND(G24*J24,2)</f>
        <v>337.84</v>
      </c>
      <c r="N24" s="239">
        <f t="shared" ref="N24" si="7">SUM(K24:M24)</f>
        <v>1622.6699999999998</v>
      </c>
      <c r="O24" s="245"/>
      <c r="Q24" s="194" t="s">
        <v>245</v>
      </c>
      <c r="R24" s="194"/>
      <c r="S24" s="194"/>
      <c r="T24" s="194"/>
      <c r="U24" s="194"/>
      <c r="V24" s="189"/>
      <c r="W24" s="249"/>
      <c r="X24" s="214" t="s">
        <v>260</v>
      </c>
    </row>
    <row r="25" spans="2:24" ht="15.75" x14ac:dyDescent="0.25">
      <c r="B25" s="227"/>
      <c r="D25" s="191"/>
      <c r="G25" s="236"/>
      <c r="H25" s="244"/>
      <c r="I25" s="244"/>
      <c r="J25" s="244"/>
      <c r="K25" s="230"/>
      <c r="L25" s="230"/>
      <c r="M25" s="238"/>
      <c r="N25" s="239"/>
      <c r="O25" s="245"/>
      <c r="Q25" s="195"/>
      <c r="R25" s="195">
        <v>57899.56</v>
      </c>
      <c r="S25" s="195"/>
      <c r="T25" s="195"/>
      <c r="U25" s="234">
        <v>8091.98</v>
      </c>
      <c r="V25" s="240">
        <v>4810</v>
      </c>
      <c r="W25" s="193" t="s">
        <v>261</v>
      </c>
      <c r="X25" s="248">
        <v>2608</v>
      </c>
    </row>
    <row r="26" spans="2:24" ht="15.75" x14ac:dyDescent="0.25">
      <c r="B26" s="227" t="s">
        <v>28</v>
      </c>
      <c r="C26" s="250" t="s">
        <v>255</v>
      </c>
      <c r="D26" s="191">
        <v>2</v>
      </c>
      <c r="E26" s="198" t="s">
        <v>137</v>
      </c>
      <c r="F26" s="198" t="s">
        <v>262</v>
      </c>
      <c r="G26" s="236">
        <f>+X14</f>
        <v>41296</v>
      </c>
      <c r="H26" s="244">
        <f t="shared" si="2"/>
        <v>0.31553999999999999</v>
      </c>
      <c r="I26" s="244">
        <f>+I18</f>
        <v>0.16378000000000001</v>
      </c>
      <c r="J26" s="244">
        <f t="shared" si="3"/>
        <v>0.12953999999999999</v>
      </c>
      <c r="K26" s="230">
        <f>ROUND(H26*G26,2)</f>
        <v>13030.54</v>
      </c>
      <c r="L26" s="230">
        <f>ROUND(G26*I26,2)</f>
        <v>6763.46</v>
      </c>
      <c r="M26" s="238">
        <f>ROUND(G26*J26,2)</f>
        <v>5349.48</v>
      </c>
      <c r="N26" s="239">
        <f>SUM(K26:M26)</f>
        <v>25143.48</v>
      </c>
      <c r="O26" s="245"/>
      <c r="Q26" s="195"/>
      <c r="R26" s="195"/>
      <c r="S26" s="195"/>
      <c r="T26" s="195"/>
      <c r="U26" s="234"/>
      <c r="V26" s="240">
        <v>4810</v>
      </c>
      <c r="W26" s="193" t="s">
        <v>246</v>
      </c>
      <c r="X26" s="248">
        <v>10789</v>
      </c>
    </row>
    <row r="27" spans="2:24" ht="15.75" x14ac:dyDescent="0.25">
      <c r="B27" s="227" t="s">
        <v>247</v>
      </c>
      <c r="C27" s="204" t="s">
        <v>258</v>
      </c>
      <c r="D27" s="191">
        <v>2</v>
      </c>
      <c r="E27" s="198" t="s">
        <v>137</v>
      </c>
      <c r="F27" s="198" t="s">
        <v>262</v>
      </c>
      <c r="G27" s="248">
        <v>-41296</v>
      </c>
      <c r="H27" s="244">
        <f t="shared" si="2"/>
        <v>0.31553999999999999</v>
      </c>
      <c r="I27" s="244">
        <f>+I18</f>
        <v>0.16378000000000001</v>
      </c>
      <c r="J27" s="244">
        <f t="shared" si="3"/>
        <v>0.12953999999999999</v>
      </c>
      <c r="K27" s="230">
        <f>ROUND(H27*G27,2)</f>
        <v>-13030.54</v>
      </c>
      <c r="L27" s="230">
        <f>ROUND(G27*I27,2)</f>
        <v>-6763.46</v>
      </c>
      <c r="M27" s="238">
        <f>ROUND(G27*J27,2)</f>
        <v>-5349.48</v>
      </c>
      <c r="N27" s="239">
        <f>SUM(K27:M27)</f>
        <v>-25143.48</v>
      </c>
      <c r="O27" s="245"/>
      <c r="Q27" s="195"/>
      <c r="R27" s="195"/>
      <c r="S27" s="195"/>
      <c r="T27" s="195"/>
      <c r="U27" s="234"/>
      <c r="V27" s="195"/>
      <c r="W27" s="193" t="s">
        <v>263</v>
      </c>
      <c r="X27" s="248">
        <v>115112</v>
      </c>
    </row>
    <row r="28" spans="2:24" ht="15.75" x14ac:dyDescent="0.25">
      <c r="B28" s="227" t="s">
        <v>247</v>
      </c>
      <c r="C28" s="204" t="s">
        <v>259</v>
      </c>
      <c r="D28" s="191">
        <v>2</v>
      </c>
      <c r="E28" s="198" t="s">
        <v>137</v>
      </c>
      <c r="F28" s="198" t="s">
        <v>262</v>
      </c>
      <c r="G28" s="248">
        <f>+X26</f>
        <v>10789</v>
      </c>
      <c r="H28" s="244">
        <f t="shared" si="2"/>
        <v>0.31553999999999999</v>
      </c>
      <c r="I28" s="244">
        <f>+I18</f>
        <v>0.16378000000000001</v>
      </c>
      <c r="J28" s="244">
        <f t="shared" si="3"/>
        <v>0.12953999999999999</v>
      </c>
      <c r="K28" s="230">
        <f t="shared" ref="K28" si="8">ROUND(H28*G28,2)</f>
        <v>3404.36</v>
      </c>
      <c r="L28" s="230">
        <f t="shared" ref="L28" si="9">ROUND(G28*I28,2)</f>
        <v>1767.02</v>
      </c>
      <c r="M28" s="238">
        <f t="shared" ref="M28" si="10">ROUND(G28*J28,2)</f>
        <v>1397.61</v>
      </c>
      <c r="N28" s="239">
        <f t="shared" ref="N28" si="11">SUM(K28:M28)</f>
        <v>6568.99</v>
      </c>
      <c r="O28" s="245"/>
      <c r="Q28" s="195"/>
      <c r="R28" s="195"/>
      <c r="S28" s="195"/>
      <c r="T28" s="195"/>
      <c r="U28" s="234"/>
      <c r="X28" s="240"/>
    </row>
    <row r="29" spans="2:24" x14ac:dyDescent="0.2">
      <c r="H29" s="244"/>
      <c r="I29" s="244"/>
      <c r="J29" s="244"/>
      <c r="O29" s="245"/>
      <c r="Q29" s="195"/>
      <c r="R29" s="195"/>
      <c r="S29" s="195"/>
      <c r="T29" s="195"/>
      <c r="U29" s="234"/>
    </row>
    <row r="30" spans="2:24" ht="15.75" x14ac:dyDescent="0.25">
      <c r="B30" s="227" t="s">
        <v>264</v>
      </c>
      <c r="C30" s="204" t="s">
        <v>265</v>
      </c>
      <c r="D30" s="191" t="s">
        <v>266</v>
      </c>
      <c r="E30" s="198" t="s">
        <v>138</v>
      </c>
      <c r="F30" s="198" t="s">
        <v>267</v>
      </c>
      <c r="G30" s="236">
        <f>+X18</f>
        <v>179840</v>
      </c>
      <c r="H30" s="244">
        <f t="shared" ref="H30:H32" si="12">$H$10</f>
        <v>0.31553999999999999</v>
      </c>
      <c r="I30" s="237">
        <v>0.15049999999999999</v>
      </c>
      <c r="J30" s="244">
        <f t="shared" ref="J30:J32" si="13">+$J$10</f>
        <v>0.12953999999999999</v>
      </c>
      <c r="K30" s="230">
        <f t="shared" ref="K30:K32" si="14">ROUND(H30*G30,2)</f>
        <v>56746.71</v>
      </c>
      <c r="L30" s="230">
        <f t="shared" ref="L30:L32" si="15">ROUND(G30*I30,2)</f>
        <v>27065.919999999998</v>
      </c>
      <c r="M30" s="238">
        <f t="shared" ref="M30:M32" si="16">ROUND(G30*J30,2)</f>
        <v>23296.47</v>
      </c>
      <c r="N30" s="239">
        <f>SUM(K30:M30)</f>
        <v>107109.1</v>
      </c>
      <c r="O30" s="245"/>
      <c r="Q30" s="195"/>
      <c r="R30" s="195"/>
      <c r="S30" s="195"/>
      <c r="T30" s="195"/>
      <c r="U30" s="234"/>
    </row>
    <row r="31" spans="2:24" ht="15.75" x14ac:dyDescent="0.25">
      <c r="B31" s="227" t="s">
        <v>264</v>
      </c>
      <c r="C31" s="204" t="s">
        <v>258</v>
      </c>
      <c r="D31" s="191">
        <v>5</v>
      </c>
      <c r="E31" s="198" t="s">
        <v>138</v>
      </c>
      <c r="F31" s="198" t="s">
        <v>267</v>
      </c>
      <c r="G31" s="248">
        <v>-179840</v>
      </c>
      <c r="H31" s="244">
        <f t="shared" si="12"/>
        <v>0.31553999999999999</v>
      </c>
      <c r="I31" s="244">
        <f>+I30</f>
        <v>0.15049999999999999</v>
      </c>
      <c r="J31" s="244">
        <f t="shared" si="13"/>
        <v>0.12953999999999999</v>
      </c>
      <c r="K31" s="230">
        <f t="shared" si="14"/>
        <v>-56746.71</v>
      </c>
      <c r="L31" s="230">
        <f t="shared" si="15"/>
        <v>-27065.919999999998</v>
      </c>
      <c r="M31" s="238">
        <f t="shared" si="16"/>
        <v>-23296.47</v>
      </c>
      <c r="N31" s="239">
        <f t="shared" ref="N31:N32" si="17">SUM(K31:M31)</f>
        <v>-107109.1</v>
      </c>
      <c r="O31" s="245"/>
      <c r="Q31" s="195"/>
      <c r="R31" s="195"/>
      <c r="S31" s="195"/>
      <c r="T31" s="195"/>
      <c r="U31" s="234"/>
    </row>
    <row r="32" spans="2:24" ht="15.75" x14ac:dyDescent="0.25">
      <c r="B32" s="227" t="s">
        <v>264</v>
      </c>
      <c r="C32" s="204" t="s">
        <v>259</v>
      </c>
      <c r="D32" s="191">
        <v>5</v>
      </c>
      <c r="E32" s="198" t="s">
        <v>138</v>
      </c>
      <c r="F32" s="198" t="s">
        <v>267</v>
      </c>
      <c r="G32" s="248">
        <f>+X27</f>
        <v>115112</v>
      </c>
      <c r="H32" s="244">
        <f t="shared" si="12"/>
        <v>0.31553999999999999</v>
      </c>
      <c r="I32" s="244">
        <f>+I30</f>
        <v>0.15049999999999999</v>
      </c>
      <c r="J32" s="244">
        <f t="shared" si="13"/>
        <v>0.12953999999999999</v>
      </c>
      <c r="K32" s="230">
        <f t="shared" si="14"/>
        <v>36322.44</v>
      </c>
      <c r="L32" s="230">
        <f t="shared" si="15"/>
        <v>17324.36</v>
      </c>
      <c r="M32" s="238">
        <f t="shared" si="16"/>
        <v>14911.61</v>
      </c>
      <c r="N32" s="239">
        <f t="shared" si="17"/>
        <v>68558.41</v>
      </c>
      <c r="O32" s="232"/>
      <c r="Q32" s="195"/>
      <c r="R32" s="195">
        <v>61282.61</v>
      </c>
      <c r="S32" s="195"/>
      <c r="T32" s="195"/>
      <c r="U32" s="234">
        <v>6665.73</v>
      </c>
    </row>
    <row r="33" spans="2:24" hidden="1" x14ac:dyDescent="0.2">
      <c r="H33" s="251"/>
      <c r="I33" s="251"/>
      <c r="J33" s="251"/>
      <c r="O33" s="232"/>
      <c r="Q33" s="195"/>
      <c r="R33" s="195"/>
      <c r="S33" s="195"/>
      <c r="T33" s="195"/>
      <c r="U33" s="234"/>
    </row>
    <row r="34" spans="2:24" hidden="1" x14ac:dyDescent="0.2">
      <c r="B34" s="227" t="s">
        <v>37</v>
      </c>
      <c r="C34" s="204" t="s">
        <v>268</v>
      </c>
      <c r="D34" s="191">
        <v>3</v>
      </c>
      <c r="E34" s="198" t="s">
        <v>134</v>
      </c>
      <c r="F34" s="198" t="s">
        <v>269</v>
      </c>
      <c r="G34" s="228">
        <f>+X17</f>
        <v>0</v>
      </c>
      <c r="H34" s="244">
        <f t="shared" ref="H34:H36" si="18">$H$10</f>
        <v>0.31553999999999999</v>
      </c>
      <c r="I34" s="244">
        <f>$I$20</f>
        <v>0.16378000000000001</v>
      </c>
      <c r="J34" s="244">
        <f t="shared" ref="J34:J36" si="19">+$J$10</f>
        <v>0.12953999999999999</v>
      </c>
      <c r="K34" s="230">
        <f t="shared" ref="K34:K36" si="20">ROUND(H34*G34,2)</f>
        <v>0</v>
      </c>
      <c r="L34" s="230">
        <f t="shared" ref="L34:L36" si="21">ROUND(G34*I34,2)</f>
        <v>0</v>
      </c>
      <c r="M34" s="238">
        <f t="shared" ref="M34:M36" si="22">ROUND(G34*J34,2)</f>
        <v>0</v>
      </c>
      <c r="N34" s="239">
        <f t="shared" ref="N34:N36" si="23">SUM(K34:M34)</f>
        <v>0</v>
      </c>
      <c r="O34" s="232"/>
      <c r="Q34" s="194" t="s">
        <v>245</v>
      </c>
      <c r="R34" s="194"/>
      <c r="S34" s="194"/>
      <c r="T34" s="194"/>
      <c r="U34" s="234"/>
    </row>
    <row r="35" spans="2:24" ht="15.75" hidden="1" x14ac:dyDescent="0.25">
      <c r="B35" s="227" t="s">
        <v>270</v>
      </c>
      <c r="C35" s="204" t="s">
        <v>258</v>
      </c>
      <c r="D35" s="191">
        <v>3</v>
      </c>
      <c r="E35" s="198" t="s">
        <v>134</v>
      </c>
      <c r="F35" s="198" t="s">
        <v>269</v>
      </c>
      <c r="G35" s="253">
        <v>0</v>
      </c>
      <c r="H35" s="244">
        <f t="shared" si="18"/>
        <v>0.31553999999999999</v>
      </c>
      <c r="I35" s="244">
        <f>$I$20</f>
        <v>0.16378000000000001</v>
      </c>
      <c r="J35" s="244">
        <f t="shared" si="19"/>
        <v>0.12953999999999999</v>
      </c>
      <c r="K35" s="230">
        <f t="shared" si="20"/>
        <v>0</v>
      </c>
      <c r="L35" s="230">
        <f t="shared" si="21"/>
        <v>0</v>
      </c>
      <c r="M35" s="238">
        <f t="shared" si="22"/>
        <v>0</v>
      </c>
      <c r="N35" s="239">
        <f t="shared" si="23"/>
        <v>0</v>
      </c>
      <c r="O35" s="232"/>
      <c r="Q35" s="195"/>
      <c r="R35" s="195">
        <v>128505.68</v>
      </c>
      <c r="S35" s="195"/>
      <c r="T35" s="195"/>
      <c r="U35" s="234">
        <v>17959.87</v>
      </c>
    </row>
    <row r="36" spans="2:24" hidden="1" x14ac:dyDescent="0.2">
      <c r="B36" s="227" t="s">
        <v>270</v>
      </c>
      <c r="C36" s="204" t="s">
        <v>259</v>
      </c>
      <c r="D36" s="191">
        <v>3</v>
      </c>
      <c r="E36" s="198" t="s">
        <v>134</v>
      </c>
      <c r="F36" s="198" t="s">
        <v>269</v>
      </c>
      <c r="G36" s="254"/>
      <c r="H36" s="244">
        <f t="shared" si="18"/>
        <v>0.31553999999999999</v>
      </c>
      <c r="I36" s="244">
        <f>$I$20</f>
        <v>0.16378000000000001</v>
      </c>
      <c r="J36" s="244">
        <f t="shared" si="19"/>
        <v>0.12953999999999999</v>
      </c>
      <c r="K36" s="230">
        <f t="shared" si="20"/>
        <v>0</v>
      </c>
      <c r="L36" s="230">
        <f t="shared" si="21"/>
        <v>0</v>
      </c>
      <c r="M36" s="238">
        <f t="shared" si="22"/>
        <v>0</v>
      </c>
      <c r="N36" s="239">
        <f t="shared" si="23"/>
        <v>0</v>
      </c>
      <c r="O36" s="230"/>
      <c r="Q36" s="195"/>
      <c r="R36" s="195">
        <v>97.86</v>
      </c>
      <c r="S36" s="195"/>
      <c r="T36" s="195"/>
      <c r="U36" s="234">
        <v>10.64</v>
      </c>
    </row>
    <row r="37" spans="2:24" ht="12.2" hidden="1" customHeight="1" x14ac:dyDescent="0.2">
      <c r="B37" s="227"/>
      <c r="D37" s="191"/>
      <c r="H37" s="244"/>
      <c r="I37" s="244"/>
      <c r="J37" s="244"/>
      <c r="K37" s="230"/>
      <c r="L37" s="230"/>
      <c r="M37" s="238"/>
      <c r="N37" s="239"/>
      <c r="O37" s="230"/>
      <c r="Q37" s="195"/>
      <c r="R37" s="195"/>
      <c r="S37" s="195"/>
      <c r="T37" s="195"/>
      <c r="U37" s="234"/>
    </row>
    <row r="38" spans="2:24" hidden="1" x14ac:dyDescent="0.2">
      <c r="B38" s="227" t="s">
        <v>37</v>
      </c>
      <c r="C38" s="204" t="s">
        <v>271</v>
      </c>
      <c r="D38" s="191" t="s">
        <v>205</v>
      </c>
      <c r="E38" s="198" t="s">
        <v>138</v>
      </c>
      <c r="F38" s="198" t="s">
        <v>267</v>
      </c>
      <c r="G38" s="228">
        <v>0</v>
      </c>
      <c r="H38" s="244">
        <f t="shared" ref="H38:H40" si="24">$H$10</f>
        <v>0.31553999999999999</v>
      </c>
      <c r="I38" s="244">
        <f>+I30</f>
        <v>0.15049999999999999</v>
      </c>
      <c r="J38" s="244">
        <f t="shared" ref="J38:J40" si="25">+$J$10</f>
        <v>0.12953999999999999</v>
      </c>
      <c r="K38" s="230">
        <f>ROUND(H38*G38,2)</f>
        <v>0</v>
      </c>
      <c r="L38" s="230">
        <f>ROUND(G38*I38,2)</f>
        <v>0</v>
      </c>
      <c r="M38" s="238">
        <f>ROUND(G38*J38,2)</f>
        <v>0</v>
      </c>
      <c r="N38" s="239">
        <f>SUM(K38:M38)</f>
        <v>0</v>
      </c>
      <c r="Q38" s="195"/>
      <c r="R38" s="195"/>
      <c r="S38" s="195"/>
      <c r="T38" s="195"/>
      <c r="U38" s="234"/>
      <c r="V38" s="195"/>
      <c r="W38" s="255"/>
      <c r="X38" s="256"/>
    </row>
    <row r="39" spans="2:24" hidden="1" x14ac:dyDescent="0.2">
      <c r="B39" s="227" t="s">
        <v>270</v>
      </c>
      <c r="C39" s="204" t="s">
        <v>258</v>
      </c>
      <c r="D39" s="191">
        <v>4</v>
      </c>
      <c r="E39" s="198" t="s">
        <v>138</v>
      </c>
      <c r="F39" s="198" t="s">
        <v>267</v>
      </c>
      <c r="G39" s="257">
        <v>0</v>
      </c>
      <c r="H39" s="244">
        <f t="shared" si="24"/>
        <v>0.31553999999999999</v>
      </c>
      <c r="I39" s="244">
        <f>+I30</f>
        <v>0.15049999999999999</v>
      </c>
      <c r="J39" s="244">
        <f t="shared" si="25"/>
        <v>0.12953999999999999</v>
      </c>
      <c r="K39" s="230">
        <f>ROUND(H39*G39,2)</f>
        <v>0</v>
      </c>
      <c r="L39" s="230">
        <f>ROUND(G39*I39,2)</f>
        <v>0</v>
      </c>
      <c r="M39" s="238">
        <f>ROUND(G39*J39,2)</f>
        <v>0</v>
      </c>
      <c r="N39" s="239">
        <f>SUM(K39:M39)</f>
        <v>0</v>
      </c>
      <c r="O39" s="230">
        <f>-N39-80.06</f>
        <v>-80.06</v>
      </c>
      <c r="Q39" s="195"/>
      <c r="R39" s="195">
        <v>18307.25</v>
      </c>
      <c r="S39" s="195"/>
      <c r="T39" s="195"/>
      <c r="U39" s="234">
        <v>1859.59</v>
      </c>
      <c r="V39" s="195"/>
      <c r="W39" s="255"/>
      <c r="X39" s="256"/>
    </row>
    <row r="40" spans="2:24" hidden="1" x14ac:dyDescent="0.2">
      <c r="B40" s="227" t="s">
        <v>270</v>
      </c>
      <c r="C40" s="204" t="s">
        <v>272</v>
      </c>
      <c r="D40" s="191">
        <v>4</v>
      </c>
      <c r="E40" s="198" t="s">
        <v>138</v>
      </c>
      <c r="F40" s="198" t="s">
        <v>267</v>
      </c>
      <c r="G40" s="254">
        <v>0</v>
      </c>
      <c r="H40" s="244">
        <f t="shared" si="24"/>
        <v>0.31553999999999999</v>
      </c>
      <c r="I40" s="244">
        <f>+I30</f>
        <v>0.15049999999999999</v>
      </c>
      <c r="J40" s="244">
        <f t="shared" si="25"/>
        <v>0.12953999999999999</v>
      </c>
      <c r="K40" s="230">
        <f>ROUND(H40*G40,2)</f>
        <v>0</v>
      </c>
      <c r="L40" s="230">
        <f>ROUND(G40*I40,2)</f>
        <v>0</v>
      </c>
      <c r="M40" s="238">
        <f>ROUND(G40*J40,2)</f>
        <v>0</v>
      </c>
      <c r="N40" s="239">
        <f>SUM(K40:M40)</f>
        <v>0</v>
      </c>
      <c r="O40" s="230"/>
      <c r="Q40" s="195"/>
      <c r="R40" s="195"/>
      <c r="S40" s="195"/>
      <c r="T40" s="195"/>
      <c r="U40" s="234"/>
      <c r="V40" s="195"/>
      <c r="W40" s="255"/>
      <c r="X40" s="256"/>
    </row>
    <row r="41" spans="2:24" ht="15.75" x14ac:dyDescent="0.25">
      <c r="B41" s="258"/>
      <c r="D41" s="259"/>
      <c r="E41" s="260"/>
      <c r="F41" s="198" t="s">
        <v>273</v>
      </c>
      <c r="G41" s="261">
        <f>SUM(G10:G32)</f>
        <v>8436168</v>
      </c>
      <c r="H41" s="262" t="s">
        <v>274</v>
      </c>
      <c r="K41" s="263">
        <f>SUM(K9:K40)</f>
        <v>2661948.4500000002</v>
      </c>
      <c r="L41" s="264">
        <f>SUM(L9:L40)</f>
        <v>1477745.7200000002</v>
      </c>
      <c r="M41" s="265">
        <f>SUM(M9:M40)</f>
        <v>1701969.2</v>
      </c>
      <c r="N41" s="266">
        <f>SUM(N9:N40)</f>
        <v>5841663.370000001</v>
      </c>
      <c r="O41" s="267">
        <v>0.03</v>
      </c>
      <c r="Q41" s="266"/>
      <c r="R41" s="266"/>
      <c r="S41" s="266"/>
      <c r="T41" s="266"/>
      <c r="U41" s="266"/>
    </row>
    <row r="42" spans="2:24" ht="15.75" x14ac:dyDescent="0.25">
      <c r="C42" s="188"/>
      <c r="D42" s="259"/>
      <c r="F42" s="198" t="s">
        <v>275</v>
      </c>
      <c r="G42" s="261"/>
      <c r="K42" s="266" t="s">
        <v>276</v>
      </c>
      <c r="L42" s="266" t="s">
        <v>276</v>
      </c>
      <c r="M42" s="268"/>
      <c r="N42" s="266"/>
      <c r="O42" s="266"/>
      <c r="Q42" s="266">
        <f>-N41</f>
        <v>-5841663.370000001</v>
      </c>
      <c r="R42" s="266"/>
      <c r="S42" s="266"/>
      <c r="T42" s="266"/>
      <c r="U42" s="266"/>
      <c r="V42" s="266"/>
      <c r="W42" s="269"/>
      <c r="X42" s="270"/>
    </row>
    <row r="43" spans="2:24" ht="15.75" x14ac:dyDescent="0.25">
      <c r="F43" s="271" t="s">
        <v>277</v>
      </c>
      <c r="G43" s="272">
        <f>+G41+G42</f>
        <v>8436168</v>
      </c>
      <c r="H43" s="273"/>
      <c r="I43" s="273"/>
      <c r="K43" s="266">
        <f>SUM(K41:K42)</f>
        <v>2661948.4500000002</v>
      </c>
      <c r="L43" s="266">
        <f>SUM(L41:L42)</f>
        <v>1477745.7200000002</v>
      </c>
      <c r="M43" s="266">
        <f>SUM(M41:M42)</f>
        <v>1701969.2</v>
      </c>
      <c r="N43" s="266">
        <f>SUM(N41:N42)</f>
        <v>5841663.370000001</v>
      </c>
      <c r="O43" s="266"/>
      <c r="P43" s="230"/>
      <c r="Q43" s="274"/>
      <c r="R43" s="274"/>
      <c r="S43" s="274"/>
      <c r="T43" s="274"/>
      <c r="U43" s="274"/>
      <c r="V43" s="274"/>
      <c r="W43" s="275"/>
      <c r="X43" s="276"/>
    </row>
    <row r="44" spans="2:24" ht="21.75" customHeight="1" x14ac:dyDescent="0.2">
      <c r="G44" s="277"/>
      <c r="H44" s="273"/>
      <c r="K44" s="268"/>
      <c r="L44" s="278"/>
      <c r="M44" s="266"/>
      <c r="N44" s="266"/>
      <c r="O44" s="266"/>
    </row>
    <row r="45" spans="2:24" ht="21.75" customHeight="1" x14ac:dyDescent="0.25">
      <c r="G45" s="279"/>
      <c r="H45" s="273"/>
      <c r="J45" s="280"/>
      <c r="K45" s="281"/>
      <c r="L45" s="269"/>
      <c r="M45" s="230"/>
      <c r="N45" s="230"/>
      <c r="O45" s="230"/>
    </row>
    <row r="46" spans="2:24" x14ac:dyDescent="0.2">
      <c r="H46" s="273"/>
      <c r="L46" s="282"/>
      <c r="N46" s="278"/>
      <c r="O46" s="278"/>
    </row>
    <row r="47" spans="2:24" x14ac:dyDescent="0.2">
      <c r="F47" s="198" t="s">
        <v>91</v>
      </c>
      <c r="L47" s="283"/>
      <c r="N47" s="284"/>
      <c r="O47" s="284"/>
    </row>
    <row r="48" spans="2:24" x14ac:dyDescent="0.2">
      <c r="L48" s="283"/>
      <c r="M48" s="285"/>
    </row>
    <row r="49" spans="12:15" x14ac:dyDescent="0.2">
      <c r="L49" s="283"/>
      <c r="M49" s="285"/>
      <c r="N49" s="278"/>
      <c r="O49" s="278"/>
    </row>
    <row r="50" spans="12:15" x14ac:dyDescent="0.2">
      <c r="L50" s="283"/>
      <c r="M50" s="285"/>
      <c r="N50" s="230"/>
      <c r="O50" s="230"/>
    </row>
    <row r="51" spans="12:15" x14ac:dyDescent="0.2">
      <c r="L51" s="283"/>
      <c r="M51" s="285"/>
      <c r="N51" s="230"/>
      <c r="O51" s="230"/>
    </row>
    <row r="52" spans="12:15" x14ac:dyDescent="0.2">
      <c r="L52" s="283"/>
      <c r="M52" s="230"/>
      <c r="N52" s="285"/>
      <c r="O52" s="285"/>
    </row>
    <row r="53" spans="12:15" x14ac:dyDescent="0.2">
      <c r="L53" s="286"/>
      <c r="N53" s="287"/>
      <c r="O53" s="287"/>
    </row>
    <row r="54" spans="12:15" x14ac:dyDescent="0.2">
      <c r="L54" s="282"/>
      <c r="N54" s="288"/>
      <c r="O54" s="288"/>
    </row>
    <row r="66" spans="2:24" s="252" customFormat="1" x14ac:dyDescent="0.2">
      <c r="B66" s="188"/>
      <c r="C66" s="204"/>
      <c r="D66" s="198"/>
      <c r="E66" s="198"/>
      <c r="F66" s="198"/>
      <c r="G66" s="251"/>
      <c r="P66" s="187"/>
      <c r="Q66" s="187"/>
      <c r="R66" s="187"/>
      <c r="S66" s="187"/>
      <c r="T66" s="187"/>
      <c r="U66" s="187"/>
      <c r="V66" s="187"/>
      <c r="W66" s="202"/>
      <c r="X66" s="186"/>
    </row>
    <row r="101" spans="2:24" x14ac:dyDescent="0.2">
      <c r="B101" s="192"/>
      <c r="D101" s="259"/>
    </row>
    <row r="102" spans="2:24" x14ac:dyDescent="0.2">
      <c r="B102" s="192"/>
      <c r="D102" s="259"/>
      <c r="Q102" s="282"/>
      <c r="R102" s="282"/>
      <c r="S102" s="282"/>
      <c r="T102" s="282"/>
      <c r="U102" s="282"/>
      <c r="V102" s="282"/>
      <c r="W102" s="282"/>
      <c r="X102" s="289"/>
    </row>
    <row r="103" spans="2:24" x14ac:dyDescent="0.2">
      <c r="Q103" s="282"/>
      <c r="R103" s="282"/>
      <c r="S103" s="282"/>
      <c r="T103" s="282"/>
      <c r="U103" s="282"/>
      <c r="V103" s="282"/>
      <c r="W103" s="282"/>
      <c r="X103" s="289"/>
    </row>
    <row r="104" spans="2:24" x14ac:dyDescent="0.2">
      <c r="D104" s="259"/>
    </row>
    <row r="105" spans="2:24" x14ac:dyDescent="0.2">
      <c r="D105" s="259"/>
    </row>
  </sheetData>
  <mergeCells count="9">
    <mergeCell ref="L5:P5"/>
    <mergeCell ref="E1:K2"/>
    <mergeCell ref="L1:P1"/>
    <mergeCell ref="L2:P2"/>
    <mergeCell ref="B3:C3"/>
    <mergeCell ref="F3:K4"/>
    <mergeCell ref="L3:P3"/>
    <mergeCell ref="B4:C4"/>
    <mergeCell ref="L4:P4"/>
  </mergeCells>
  <printOptions horizontalCentered="1" gridLines="1"/>
  <pageMargins left="0" right="0" top="0.45" bottom="0" header="0.15" footer="0.35"/>
  <pageSetup scale="74" orientation="landscape" cellComments="asDisplayed" r:id="rId1"/>
  <headerFooter alignWithMargins="0">
    <oddHeader>&amp;R&amp;16Page 4</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5F73C-6A2D-4586-ABAB-5F69C2DDFDC0}">
  <dimension ref="B1:AP52"/>
  <sheetViews>
    <sheetView showGridLines="0" topLeftCell="A19" zoomScaleNormal="100" zoomScaleSheetLayoutView="100" workbookViewId="0">
      <selection activeCell="K43" sqref="K43"/>
    </sheetView>
  </sheetViews>
  <sheetFormatPr defaultColWidth="7.109375" defaultRowHeight="14.1" customHeight="1" x14ac:dyDescent="0.25"/>
  <cols>
    <col min="1" max="1" width="1.6640625" style="196" customWidth="1"/>
    <col min="2" max="2" width="2.6640625" style="291" customWidth="1"/>
    <col min="3" max="3" width="4.33203125" style="291" customWidth="1"/>
    <col min="4" max="4" width="5" style="291" customWidth="1"/>
    <col min="5" max="5" width="6.88671875" style="410" customWidth="1"/>
    <col min="6" max="6" width="22.88671875" style="196" customWidth="1"/>
    <col min="7" max="7" width="9.44140625" style="196" bestFit="1" customWidth="1"/>
    <col min="8" max="8" width="12.109375" style="293" bestFit="1" customWidth="1"/>
    <col min="9" max="9" width="2.109375" style="196" customWidth="1"/>
    <col min="10" max="10" width="10.44140625" style="196" bestFit="1" customWidth="1"/>
    <col min="11" max="11" width="14.77734375" style="293" customWidth="1"/>
    <col min="12" max="12" width="2.109375" style="196" customWidth="1"/>
    <col min="13" max="13" width="13.109375" style="196" bestFit="1" customWidth="1"/>
    <col min="14" max="14" width="12.88671875" style="293" bestFit="1" customWidth="1"/>
    <col min="15" max="15" width="2.33203125" style="196" customWidth="1"/>
    <col min="16" max="16" width="13.33203125" style="299" customWidth="1"/>
    <col min="17" max="17" width="13.5546875" style="299" customWidth="1"/>
    <col min="18" max="18" width="2.88671875" style="299" customWidth="1"/>
    <col min="19" max="19" width="13.33203125" style="299" customWidth="1"/>
    <col min="20" max="20" width="13.109375" style="299" customWidth="1"/>
    <col min="21" max="21" width="2.77734375" style="196" customWidth="1"/>
    <col min="22" max="22" width="6.21875" style="196" customWidth="1"/>
    <col min="23" max="23" width="12.44140625" style="196" bestFit="1" customWidth="1"/>
    <col min="24" max="24" width="1.33203125" style="196" hidden="1" customWidth="1"/>
    <col min="25" max="25" width="6.77734375" style="196" customWidth="1"/>
    <col min="26" max="26" width="11.44140625" style="196" bestFit="1" customWidth="1"/>
    <col min="27" max="27" width="1.33203125" style="196" hidden="1" customWidth="1"/>
    <col min="28" max="29" width="12.21875" style="196" hidden="1" customWidth="1"/>
    <col min="30" max="30" width="1.6640625" style="196" customWidth="1"/>
    <col min="31" max="31" width="11.21875" style="196" customWidth="1"/>
    <col min="32" max="32" width="8.33203125" style="196" bestFit="1" customWidth="1"/>
    <col min="33" max="33" width="12.5546875" style="196" bestFit="1" customWidth="1"/>
    <col min="34" max="34" width="12.109375" style="196" bestFit="1" customWidth="1"/>
    <col min="35" max="35" width="7.109375" style="196"/>
    <col min="36" max="36" width="8.21875" style="196" bestFit="1" customWidth="1"/>
    <col min="37" max="37" width="10.5546875" style="196" bestFit="1" customWidth="1"/>
    <col min="38" max="16384" width="7.109375" style="196"/>
  </cols>
  <sheetData>
    <row r="1" spans="2:42" ht="17.45" customHeight="1" x14ac:dyDescent="0.25">
      <c r="B1" s="290" t="s">
        <v>279</v>
      </c>
      <c r="D1" s="292"/>
      <c r="E1" s="292"/>
      <c r="F1" s="292"/>
      <c r="I1" s="294"/>
      <c r="K1" s="295"/>
      <c r="O1" s="294"/>
      <c r="P1" s="296"/>
      <c r="Q1" s="297"/>
      <c r="R1" s="296"/>
      <c r="S1" s="296"/>
      <c r="T1" s="296"/>
      <c r="U1" s="294"/>
      <c r="V1" s="630">
        <f>B2-31</f>
        <v>44706</v>
      </c>
      <c r="W1" s="630"/>
      <c r="X1" s="630"/>
      <c r="Y1" s="630"/>
      <c r="Z1" s="630"/>
    </row>
    <row r="2" spans="2:42" ht="15" customHeight="1" x14ac:dyDescent="0.25">
      <c r="B2" s="631">
        <v>44737</v>
      </c>
      <c r="C2" s="631"/>
      <c r="D2" s="631"/>
      <c r="E2" s="631"/>
      <c r="I2" s="294"/>
      <c r="J2" s="632" t="s">
        <v>280</v>
      </c>
      <c r="K2" s="632"/>
      <c r="L2" s="632"/>
      <c r="M2" s="632"/>
      <c r="N2" s="632"/>
      <c r="O2" s="294"/>
      <c r="P2" s="633" t="s">
        <v>281</v>
      </c>
      <c r="Q2" s="633"/>
      <c r="R2" s="633"/>
      <c r="S2" s="633"/>
      <c r="T2" s="633"/>
      <c r="U2" s="294"/>
      <c r="V2" s="634" t="s">
        <v>282</v>
      </c>
      <c r="W2" s="634"/>
      <c r="X2" s="634"/>
      <c r="Y2" s="634"/>
      <c r="Z2" s="634"/>
    </row>
    <row r="3" spans="2:42" ht="15.75" x14ac:dyDescent="0.25">
      <c r="E3" s="298"/>
      <c r="F3" s="196" t="s">
        <v>91</v>
      </c>
      <c r="I3" s="294"/>
      <c r="K3" s="295"/>
      <c r="O3" s="294"/>
      <c r="U3" s="300"/>
      <c r="V3" s="630">
        <f>B2</f>
        <v>44737</v>
      </c>
      <c r="W3" s="630"/>
      <c r="X3" s="630"/>
      <c r="Y3" s="630"/>
      <c r="Z3" s="630"/>
      <c r="AB3" s="626" t="s">
        <v>283</v>
      </c>
      <c r="AC3" s="626"/>
      <c r="AD3" s="301"/>
    </row>
    <row r="4" spans="2:42" ht="16.5" customHeight="1" x14ac:dyDescent="0.25">
      <c r="B4" s="302"/>
      <c r="C4" s="302"/>
      <c r="D4" s="302"/>
      <c r="E4" s="303"/>
      <c r="F4" s="304"/>
      <c r="G4" s="627" t="s">
        <v>3</v>
      </c>
      <c r="H4" s="627"/>
      <c r="I4" s="294"/>
      <c r="J4" s="628" t="s">
        <v>284</v>
      </c>
      <c r="K4" s="628"/>
      <c r="L4" s="305"/>
      <c r="M4" s="628" t="s">
        <v>285</v>
      </c>
      <c r="N4" s="628"/>
      <c r="O4" s="306"/>
      <c r="P4" s="629" t="s">
        <v>284</v>
      </c>
      <c r="Q4" s="629"/>
      <c r="R4" s="307"/>
      <c r="S4" s="629" t="s">
        <v>285</v>
      </c>
      <c r="T4" s="629"/>
      <c r="U4" s="306"/>
      <c r="V4" s="628" t="s">
        <v>284</v>
      </c>
      <c r="W4" s="628"/>
      <c r="X4" s="305"/>
      <c r="Y4" s="628" t="s">
        <v>285</v>
      </c>
      <c r="Z4" s="628"/>
      <c r="AB4" s="308" t="s">
        <v>14</v>
      </c>
      <c r="AC4" s="308" t="s">
        <v>286</v>
      </c>
      <c r="AD4" s="308"/>
    </row>
    <row r="5" spans="2:42" s="192" customFormat="1" ht="17.25" customHeight="1" x14ac:dyDescent="0.25">
      <c r="B5" s="625" t="s">
        <v>287</v>
      </c>
      <c r="C5" s="625"/>
      <c r="D5" s="625"/>
      <c r="E5" s="625"/>
      <c r="F5" s="309"/>
      <c r="G5" s="310" t="s">
        <v>12</v>
      </c>
      <c r="H5" s="311" t="s">
        <v>288</v>
      </c>
      <c r="I5" s="306"/>
      <c r="J5" s="312" t="s">
        <v>12</v>
      </c>
      <c r="K5" s="313" t="s">
        <v>288</v>
      </c>
      <c r="L5" s="312"/>
      <c r="M5" s="312" t="s">
        <v>12</v>
      </c>
      <c r="N5" s="313" t="s">
        <v>288</v>
      </c>
      <c r="O5" s="314"/>
      <c r="P5" s="312" t="s">
        <v>12</v>
      </c>
      <c r="Q5" s="313" t="s">
        <v>288</v>
      </c>
      <c r="R5" s="312"/>
      <c r="S5" s="312" t="s">
        <v>12</v>
      </c>
      <c r="T5" s="313" t="s">
        <v>288</v>
      </c>
      <c r="U5" s="314"/>
      <c r="V5" s="312" t="s">
        <v>289</v>
      </c>
      <c r="W5" s="313" t="s">
        <v>288</v>
      </c>
      <c r="X5" s="312"/>
      <c r="Y5" s="312" t="s">
        <v>289</v>
      </c>
      <c r="Z5" s="313" t="s">
        <v>288</v>
      </c>
      <c r="AB5" s="315" t="s">
        <v>288</v>
      </c>
      <c r="AC5" s="315" t="s">
        <v>288</v>
      </c>
      <c r="AD5" s="315"/>
      <c r="AG5" s="316" t="s">
        <v>290</v>
      </c>
      <c r="AH5" s="316" t="s">
        <v>291</v>
      </c>
    </row>
    <row r="6" spans="2:42" ht="14.25" customHeight="1" x14ac:dyDescent="0.25">
      <c r="B6" s="317" t="s">
        <v>292</v>
      </c>
      <c r="C6" s="318">
        <v>6011</v>
      </c>
      <c r="D6" s="318">
        <v>28040</v>
      </c>
      <c r="E6" s="319">
        <v>671010</v>
      </c>
      <c r="F6" s="261" t="s">
        <v>293</v>
      </c>
      <c r="G6" s="320" t="s">
        <v>294</v>
      </c>
      <c r="H6" s="278">
        <f>K6+N6</f>
        <v>0</v>
      </c>
      <c r="I6" s="294"/>
      <c r="J6" s="321"/>
      <c r="K6" s="322">
        <f>+Q6+W6</f>
        <v>0</v>
      </c>
      <c r="L6" s="323" t="s">
        <v>176</v>
      </c>
      <c r="M6" s="321"/>
      <c r="N6" s="322">
        <f>+T6+Z6</f>
        <v>0</v>
      </c>
      <c r="O6" s="324" t="s">
        <v>176</v>
      </c>
      <c r="P6" s="325"/>
      <c r="Q6" s="326">
        <v>0</v>
      </c>
      <c r="R6" s="327"/>
      <c r="S6" s="325"/>
      <c r="T6" s="326">
        <v>0</v>
      </c>
      <c r="U6" s="294"/>
      <c r="V6" s="328"/>
      <c r="W6" s="329">
        <v>0</v>
      </c>
      <c r="Y6" s="330"/>
      <c r="Z6" s="329">
        <v>0</v>
      </c>
      <c r="AE6" s="331">
        <v>671010</v>
      </c>
      <c r="AG6" s="332">
        <f>+J41-J12</f>
        <v>12240114</v>
      </c>
      <c r="AH6" s="332">
        <f>+M41-M12</f>
        <v>3463490</v>
      </c>
    </row>
    <row r="7" spans="2:42" ht="14.25" customHeight="1" x14ac:dyDescent="0.25">
      <c r="B7" s="317" t="s">
        <v>292</v>
      </c>
      <c r="C7" s="318">
        <v>6011</v>
      </c>
      <c r="D7" s="318">
        <v>28040</v>
      </c>
      <c r="E7" s="319">
        <v>671030</v>
      </c>
      <c r="F7" s="261" t="s">
        <v>295</v>
      </c>
      <c r="G7" s="320" t="s">
        <v>294</v>
      </c>
      <c r="H7" s="278">
        <f t="shared" ref="H7:H13" si="0">+K7+N7</f>
        <v>496775.9</v>
      </c>
      <c r="I7" s="294"/>
      <c r="J7" s="321"/>
      <c r="K7" s="322">
        <f>+Q7+W7</f>
        <v>306343.25</v>
      </c>
      <c r="L7" s="323" t="s">
        <v>176</v>
      </c>
      <c r="M7" s="321"/>
      <c r="N7" s="322">
        <f>+T7+Z7</f>
        <v>190432.65</v>
      </c>
      <c r="O7" s="324" t="s">
        <v>176</v>
      </c>
      <c r="P7" s="325"/>
      <c r="Q7" s="326">
        <v>306673.91999999998</v>
      </c>
      <c r="R7" s="327"/>
      <c r="S7" s="325"/>
      <c r="T7" s="326">
        <v>176818.59</v>
      </c>
      <c r="U7" s="294"/>
      <c r="V7" s="333"/>
      <c r="W7" s="326">
        <v>-330.67</v>
      </c>
      <c r="X7" s="299"/>
      <c r="Y7" s="334"/>
      <c r="Z7" s="326">
        <v>13614.06</v>
      </c>
      <c r="AE7" s="331">
        <v>671030</v>
      </c>
    </row>
    <row r="8" spans="2:42" ht="14.25" customHeight="1" x14ac:dyDescent="0.25">
      <c r="B8" s="317" t="s">
        <v>292</v>
      </c>
      <c r="C8" s="318">
        <v>6011</v>
      </c>
      <c r="D8" s="318">
        <v>28040</v>
      </c>
      <c r="E8" s="319">
        <v>671050</v>
      </c>
      <c r="F8" s="261" t="s">
        <v>296</v>
      </c>
      <c r="G8" s="192">
        <f t="shared" ref="G8:G14" si="1">+J8+M8</f>
        <v>16071690</v>
      </c>
      <c r="H8" s="278">
        <f t="shared" si="0"/>
        <v>10433710.220000001</v>
      </c>
      <c r="I8" s="294"/>
      <c r="J8" s="335">
        <f>+P8+V8</f>
        <v>12511901</v>
      </c>
      <c r="K8" s="336">
        <f>+Q8+W8</f>
        <v>8449382.8000000007</v>
      </c>
      <c r="L8" s="323" t="s">
        <v>297</v>
      </c>
      <c r="M8" s="192">
        <f>+S8+Y8</f>
        <v>3559789</v>
      </c>
      <c r="N8" s="336">
        <f>+T8+Z8</f>
        <v>1984327.4200000002</v>
      </c>
      <c r="O8" s="324" t="s">
        <v>297</v>
      </c>
      <c r="P8" s="337">
        <v>12512124</v>
      </c>
      <c r="Q8" s="338">
        <v>8449585.1699999999</v>
      </c>
      <c r="R8" s="327"/>
      <c r="S8" s="337">
        <v>3560286</v>
      </c>
      <c r="T8" s="338">
        <v>1984609.83</v>
      </c>
      <c r="U8" s="294"/>
      <c r="V8" s="339">
        <v>-223</v>
      </c>
      <c r="W8" s="338">
        <v>-202.37</v>
      </c>
      <c r="X8" s="299"/>
      <c r="Y8" s="340">
        <v>-497</v>
      </c>
      <c r="Z8" s="338">
        <v>-282.41000000000003</v>
      </c>
      <c r="AB8" s="341">
        <v>0</v>
      </c>
      <c r="AC8" s="341">
        <v>0</v>
      </c>
      <c r="AE8" s="342">
        <v>671050</v>
      </c>
    </row>
    <row r="9" spans="2:42" ht="14.25" customHeight="1" x14ac:dyDescent="0.25">
      <c r="B9" s="317" t="s">
        <v>292</v>
      </c>
      <c r="C9" s="318">
        <v>6011</v>
      </c>
      <c r="D9" s="318">
        <v>28040</v>
      </c>
      <c r="E9" s="319">
        <v>671051</v>
      </c>
      <c r="F9" s="261" t="s">
        <v>298</v>
      </c>
      <c r="G9" s="320" t="s">
        <v>294</v>
      </c>
      <c r="H9" s="278">
        <f t="shared" si="0"/>
        <v>0</v>
      </c>
      <c r="I9" s="294"/>
      <c r="J9" s="343"/>
      <c r="K9" s="336">
        <f t="shared" ref="J9:K14" si="2">+Q9+W9</f>
        <v>0</v>
      </c>
      <c r="L9" s="323" t="s">
        <v>297</v>
      </c>
      <c r="M9" s="344"/>
      <c r="N9" s="336">
        <f>+T9+Z9</f>
        <v>0</v>
      </c>
      <c r="O9" s="324" t="s">
        <v>297</v>
      </c>
      <c r="P9" s="325"/>
      <c r="Q9" s="338"/>
      <c r="R9" s="327"/>
      <c r="S9" s="325"/>
      <c r="T9" s="338"/>
      <c r="U9" s="294"/>
      <c r="V9" s="345"/>
      <c r="W9" s="346"/>
      <c r="X9" s="330"/>
      <c r="Y9" s="347"/>
      <c r="Z9" s="346"/>
      <c r="AE9" s="342">
        <v>671051</v>
      </c>
    </row>
    <row r="10" spans="2:42" ht="14.25" customHeight="1" x14ac:dyDescent="0.25">
      <c r="B10" s="317" t="s">
        <v>292</v>
      </c>
      <c r="C10" s="318">
        <v>6011</v>
      </c>
      <c r="D10" s="318">
        <v>28040</v>
      </c>
      <c r="E10" s="319">
        <v>671070</v>
      </c>
      <c r="F10" s="261" t="s">
        <v>299</v>
      </c>
      <c r="G10" s="192">
        <f t="shared" si="1"/>
        <v>-343270</v>
      </c>
      <c r="H10" s="278">
        <f>+K10+N10</f>
        <v>-398369.98</v>
      </c>
      <c r="I10" s="294"/>
      <c r="J10" s="335">
        <f t="shared" si="2"/>
        <v>-250833</v>
      </c>
      <c r="K10" s="336">
        <f t="shared" si="2"/>
        <v>-287362.95999999996</v>
      </c>
      <c r="L10" s="323" t="s">
        <v>297</v>
      </c>
      <c r="M10" s="192">
        <f>+S10+Y10</f>
        <v>-92437</v>
      </c>
      <c r="N10" s="336">
        <f>+T10+Z10</f>
        <v>-111007.02000000002</v>
      </c>
      <c r="O10" s="348" t="s">
        <v>297</v>
      </c>
      <c r="P10" s="337">
        <v>-250833</v>
      </c>
      <c r="Q10" s="338">
        <v>-287362.95999999996</v>
      </c>
      <c r="R10" s="327"/>
      <c r="S10" s="337">
        <v>-92437</v>
      </c>
      <c r="T10" s="338">
        <v>-111007.02000000002</v>
      </c>
      <c r="U10" s="294"/>
      <c r="V10" s="345"/>
      <c r="W10" s="346"/>
      <c r="X10" s="330"/>
      <c r="Y10" s="347"/>
      <c r="Z10" s="346"/>
      <c r="AE10" s="342">
        <v>671070</v>
      </c>
    </row>
    <row r="11" spans="2:42" ht="14.25" customHeight="1" x14ac:dyDescent="0.25">
      <c r="B11" s="349" t="s">
        <v>292</v>
      </c>
      <c r="C11" s="350">
        <v>6011</v>
      </c>
      <c r="D11" s="350">
        <v>28081</v>
      </c>
      <c r="E11" s="351">
        <v>671050</v>
      </c>
      <c r="F11" s="352" t="s">
        <v>300</v>
      </c>
      <c r="G11" s="192">
        <f t="shared" si="1"/>
        <v>0</v>
      </c>
      <c r="H11" s="278">
        <f t="shared" si="0"/>
        <v>0</v>
      </c>
      <c r="I11" s="294"/>
      <c r="J11" s="335">
        <f t="shared" si="2"/>
        <v>0</v>
      </c>
      <c r="K11" s="336">
        <f t="shared" si="2"/>
        <v>0</v>
      </c>
      <c r="L11" s="323" t="s">
        <v>297</v>
      </c>
      <c r="M11" s="192">
        <f t="shared" ref="M11:N14" si="3">+S11+Y11</f>
        <v>0</v>
      </c>
      <c r="N11" s="336">
        <f t="shared" si="3"/>
        <v>0</v>
      </c>
      <c r="O11" s="324" t="s">
        <v>297</v>
      </c>
      <c r="P11" s="337">
        <v>0</v>
      </c>
      <c r="Q11" s="353">
        <v>0</v>
      </c>
      <c r="R11" s="354"/>
      <c r="S11" s="337">
        <v>0</v>
      </c>
      <c r="T11" s="353">
        <v>0</v>
      </c>
      <c r="U11" s="355">
        <v>-4</v>
      </c>
      <c r="V11" s="345"/>
      <c r="W11" s="346"/>
      <c r="X11" s="330"/>
      <c r="Y11" s="347"/>
      <c r="Z11" s="346"/>
      <c r="AE11" s="351">
        <v>671050</v>
      </c>
      <c r="AF11" s="299"/>
      <c r="AN11" s="356"/>
      <c r="AO11" s="356"/>
      <c r="AP11" s="356"/>
    </row>
    <row r="12" spans="2:42" ht="14.25" customHeight="1" x14ac:dyDescent="0.25">
      <c r="B12" s="349" t="s">
        <v>292</v>
      </c>
      <c r="C12" s="350">
        <v>6011</v>
      </c>
      <c r="D12" s="350">
        <v>28082</v>
      </c>
      <c r="E12" s="351">
        <v>671050</v>
      </c>
      <c r="F12" s="352" t="s">
        <v>301</v>
      </c>
      <c r="G12" s="192">
        <f t="shared" si="1"/>
        <v>-3721640</v>
      </c>
      <c r="H12" s="278">
        <f t="shared" si="0"/>
        <v>-2515644.73</v>
      </c>
      <c r="I12" s="294"/>
      <c r="J12" s="335">
        <f t="shared" si="2"/>
        <v>-3721640</v>
      </c>
      <c r="K12" s="336">
        <f t="shared" si="2"/>
        <v>-2515644.73</v>
      </c>
      <c r="L12" s="323" t="s">
        <v>297</v>
      </c>
      <c r="M12" s="251">
        <f t="shared" si="3"/>
        <v>0</v>
      </c>
      <c r="N12" s="336">
        <f t="shared" si="3"/>
        <v>0</v>
      </c>
      <c r="O12" s="324" t="s">
        <v>297</v>
      </c>
      <c r="P12" s="337">
        <v>-3721640</v>
      </c>
      <c r="Q12" s="353">
        <v>-2515644.73</v>
      </c>
      <c r="R12" s="354"/>
      <c r="S12" s="357">
        <v>0</v>
      </c>
      <c r="T12" s="353">
        <v>0</v>
      </c>
      <c r="U12" s="355"/>
      <c r="V12" s="358"/>
      <c r="W12" s="346"/>
      <c r="X12" s="330"/>
      <c r="Y12" s="347"/>
      <c r="Z12" s="346"/>
      <c r="AE12" s="351">
        <v>671050</v>
      </c>
      <c r="AF12" s="299"/>
    </row>
    <row r="13" spans="2:42" ht="14.25" customHeight="1" x14ac:dyDescent="0.25">
      <c r="B13" s="349" t="s">
        <v>292</v>
      </c>
      <c r="C13" s="350">
        <v>6011</v>
      </c>
      <c r="D13" s="350">
        <v>28120</v>
      </c>
      <c r="E13" s="351">
        <v>671070</v>
      </c>
      <c r="F13" s="352" t="s">
        <v>302</v>
      </c>
      <c r="G13" s="192">
        <f t="shared" si="1"/>
        <v>-24816</v>
      </c>
      <c r="H13" s="278">
        <f t="shared" si="0"/>
        <v>-7664.58</v>
      </c>
      <c r="I13" s="294"/>
      <c r="J13" s="335">
        <f>+P13+V13</f>
        <v>-20954</v>
      </c>
      <c r="K13" s="336">
        <f>+Q13+W13</f>
        <v>-6611.81</v>
      </c>
      <c r="L13" s="323" t="s">
        <v>297</v>
      </c>
      <c r="M13" s="192">
        <f t="shared" si="3"/>
        <v>-3862</v>
      </c>
      <c r="N13" s="336">
        <f t="shared" si="3"/>
        <v>-1052.77</v>
      </c>
      <c r="O13" s="324" t="s">
        <v>297</v>
      </c>
      <c r="P13" s="337">
        <v>-20954</v>
      </c>
      <c r="Q13" s="353">
        <v>-6611.81</v>
      </c>
      <c r="R13" s="354"/>
      <c r="S13" s="359">
        <v>-3862</v>
      </c>
      <c r="T13" s="353">
        <v>-1052.77</v>
      </c>
      <c r="U13" s="355">
        <v>-5</v>
      </c>
      <c r="V13" s="345"/>
      <c r="W13" s="346"/>
      <c r="X13" s="330"/>
      <c r="Y13" s="347"/>
      <c r="Z13" s="346"/>
      <c r="AE13" s="351">
        <v>671070</v>
      </c>
    </row>
    <row r="14" spans="2:42" ht="14.25" customHeight="1" x14ac:dyDescent="0.25">
      <c r="B14" s="317" t="s">
        <v>292</v>
      </c>
      <c r="C14" s="318">
        <v>6011</v>
      </c>
      <c r="D14" s="318">
        <v>28040</v>
      </c>
      <c r="E14" s="319">
        <v>671100</v>
      </c>
      <c r="F14" s="261" t="s">
        <v>303</v>
      </c>
      <c r="G14" s="192">
        <f t="shared" si="1"/>
        <v>0</v>
      </c>
      <c r="H14" s="278">
        <f>+K14+N14</f>
        <v>0</v>
      </c>
      <c r="I14" s="294"/>
      <c r="J14" s="335">
        <f>+P14+V14</f>
        <v>0</v>
      </c>
      <c r="K14" s="336">
        <f t="shared" si="2"/>
        <v>0</v>
      </c>
      <c r="L14" s="323" t="s">
        <v>297</v>
      </c>
      <c r="M14" s="360">
        <f t="shared" si="3"/>
        <v>0</v>
      </c>
      <c r="N14" s="361">
        <f t="shared" si="3"/>
        <v>0</v>
      </c>
      <c r="O14" s="324" t="s">
        <v>297</v>
      </c>
      <c r="P14" s="362"/>
      <c r="Q14" s="363"/>
      <c r="R14" s="192"/>
      <c r="S14" s="362"/>
      <c r="T14" s="346"/>
      <c r="U14" s="294"/>
      <c r="V14" s="345"/>
      <c r="W14" s="346"/>
      <c r="X14" s="330"/>
      <c r="Y14" s="347"/>
      <c r="Z14" s="364"/>
      <c r="AE14" s="342">
        <v>671100</v>
      </c>
    </row>
    <row r="15" spans="2:42" ht="14.25" customHeight="1" x14ac:dyDescent="0.25">
      <c r="B15" s="317"/>
      <c r="C15" s="365"/>
      <c r="D15" s="365"/>
      <c r="E15" s="366"/>
      <c r="F15" s="367" t="s">
        <v>304</v>
      </c>
      <c r="G15" s="368">
        <f>SUM(G6:G14)</f>
        <v>11981964</v>
      </c>
      <c r="H15" s="369">
        <f>SUM(H6:H14)</f>
        <v>8008806.8300000001</v>
      </c>
      <c r="I15" s="294"/>
      <c r="J15" s="368">
        <f>SUM(J6:J14)</f>
        <v>8518474</v>
      </c>
      <c r="K15" s="369">
        <f>SUM(K6:K14)</f>
        <v>5946106.5499999998</v>
      </c>
      <c r="L15" s="323"/>
      <c r="M15" s="192">
        <f>SUM(M6:M14)</f>
        <v>3463490</v>
      </c>
      <c r="N15" s="370">
        <f>SUM(N6:N14)</f>
        <v>2062700.2800000003</v>
      </c>
      <c r="O15" s="324"/>
      <c r="P15" s="192">
        <f>SUM(P6:P14)</f>
        <v>8518697</v>
      </c>
      <c r="Q15" s="371">
        <f>SUM(Q6:Q14)</f>
        <v>5946639.5899999989</v>
      </c>
      <c r="R15" s="192"/>
      <c r="S15" s="192">
        <f>SUM(S6:S14)</f>
        <v>3463987</v>
      </c>
      <c r="T15" s="371">
        <f>SUM(T6:T14)</f>
        <v>2049368.63</v>
      </c>
      <c r="U15" s="294"/>
      <c r="V15" s="192">
        <f>SUM(V6:V14)</f>
        <v>-223</v>
      </c>
      <c r="W15" s="371">
        <v>-6805.7499999999991</v>
      </c>
      <c r="X15" s="330"/>
      <c r="Y15" s="192">
        <f>SUM(Y6:Y14)</f>
        <v>-497</v>
      </c>
      <c r="Z15" s="371">
        <v>-14940.13</v>
      </c>
      <c r="AB15" s="372">
        <f>SUM(AB6:AB14)</f>
        <v>0</v>
      </c>
      <c r="AC15" s="372">
        <f>SUM(AC6:AC14)</f>
        <v>0</v>
      </c>
      <c r="AD15" s="372"/>
      <c r="AE15" s="366"/>
    </row>
    <row r="16" spans="2:42" ht="14.25" customHeight="1" x14ac:dyDescent="0.25">
      <c r="B16" s="317"/>
      <c r="C16" s="365"/>
      <c r="D16" s="365"/>
      <c r="E16" s="366"/>
      <c r="F16" s="261"/>
      <c r="G16" s="368"/>
      <c r="H16" s="373"/>
      <c r="I16" s="294"/>
      <c r="J16" s="374"/>
      <c r="K16" s="375"/>
      <c r="L16" s="376"/>
      <c r="M16" s="377"/>
      <c r="N16" s="378"/>
      <c r="O16" s="324"/>
      <c r="P16" s="368"/>
      <c r="Q16" s="278"/>
      <c r="R16" s="192"/>
      <c r="S16" s="368"/>
      <c r="T16" s="278"/>
      <c r="U16" s="294"/>
      <c r="V16" s="379"/>
      <c r="W16" s="278"/>
      <c r="X16" s="330"/>
      <c r="Y16" s="330"/>
      <c r="Z16" s="278"/>
      <c r="AE16" s="366"/>
    </row>
    <row r="17" spans="2:33" ht="14.25" customHeight="1" x14ac:dyDescent="0.25">
      <c r="B17" s="317" t="s">
        <v>292</v>
      </c>
      <c r="C17" s="318">
        <v>6011</v>
      </c>
      <c r="D17" s="318">
        <v>28040</v>
      </c>
      <c r="E17" s="319">
        <v>672010</v>
      </c>
      <c r="F17" s="261" t="s">
        <v>305</v>
      </c>
      <c r="G17" s="320"/>
      <c r="H17" s="278">
        <f>K17+N17</f>
        <v>3879297.26</v>
      </c>
      <c r="I17" s="294"/>
      <c r="K17" s="322">
        <f>+Q17+W17</f>
        <v>3167916.0599999996</v>
      </c>
      <c r="L17" s="323" t="s">
        <v>176</v>
      </c>
      <c r="M17" s="321"/>
      <c r="N17" s="322">
        <f>+T17+Z17</f>
        <v>711381.2</v>
      </c>
      <c r="O17" s="324" t="s">
        <v>176</v>
      </c>
      <c r="P17" s="321"/>
      <c r="Q17" s="326">
        <v>3167916.0599999996</v>
      </c>
      <c r="R17" s="327"/>
      <c r="T17" s="326">
        <v>711381.2</v>
      </c>
      <c r="U17" s="294"/>
      <c r="V17" s="380"/>
      <c r="W17" s="326">
        <v>0</v>
      </c>
      <c r="X17" s="330"/>
      <c r="Y17" s="328"/>
      <c r="Z17" s="381">
        <v>0</v>
      </c>
      <c r="AE17" s="331">
        <v>672010</v>
      </c>
    </row>
    <row r="18" spans="2:33" ht="14.25" customHeight="1" x14ac:dyDescent="0.25">
      <c r="B18" s="317" t="s">
        <v>292</v>
      </c>
      <c r="C18" s="318">
        <v>6011</v>
      </c>
      <c r="D18" s="318">
        <v>28040</v>
      </c>
      <c r="E18" s="319">
        <v>672020</v>
      </c>
      <c r="F18" s="261" t="s">
        <v>306</v>
      </c>
      <c r="G18" s="320"/>
      <c r="H18" s="278">
        <f>K18+N18</f>
        <v>131172.71</v>
      </c>
      <c r="I18" s="294"/>
      <c r="J18" s="374"/>
      <c r="K18" s="336">
        <f>+Q18+W18</f>
        <v>121122.28</v>
      </c>
      <c r="L18" s="323" t="s">
        <v>297</v>
      </c>
      <c r="M18" s="321"/>
      <c r="N18" s="336">
        <f>+T18+Z18</f>
        <v>10050.43</v>
      </c>
      <c r="O18" s="324" t="s">
        <v>297</v>
      </c>
      <c r="P18" s="321"/>
      <c r="Q18" s="338">
        <v>106456.18</v>
      </c>
      <c r="R18" s="327"/>
      <c r="T18" s="338">
        <v>10618.82</v>
      </c>
      <c r="U18" s="294"/>
      <c r="V18" s="380"/>
      <c r="W18" s="338">
        <v>14666.1</v>
      </c>
      <c r="X18" s="334"/>
      <c r="Y18" s="333"/>
      <c r="Z18" s="338">
        <v>-568.39</v>
      </c>
      <c r="AE18" s="342">
        <v>672020</v>
      </c>
      <c r="AF18" s="382"/>
    </row>
    <row r="19" spans="2:33" ht="14.25" customHeight="1" x14ac:dyDescent="0.25">
      <c r="B19" s="317" t="s">
        <v>292</v>
      </c>
      <c r="C19" s="318">
        <v>6011</v>
      </c>
      <c r="D19" s="318">
        <v>28040</v>
      </c>
      <c r="E19" s="319">
        <v>672030</v>
      </c>
      <c r="F19" s="261" t="s">
        <v>307</v>
      </c>
      <c r="G19" s="320"/>
      <c r="H19" s="278">
        <f>K19+N19</f>
        <v>0</v>
      </c>
      <c r="I19" s="294"/>
      <c r="J19" s="374"/>
      <c r="K19" s="322">
        <f>+Q19+W19</f>
        <v>0</v>
      </c>
      <c r="L19" s="323" t="s">
        <v>176</v>
      </c>
      <c r="N19" s="322">
        <f>+T19+Z19</f>
        <v>0</v>
      </c>
      <c r="O19" s="324" t="s">
        <v>176</v>
      </c>
      <c r="P19" s="321"/>
      <c r="Q19" s="329"/>
      <c r="R19" s="192"/>
      <c r="S19" s="321"/>
      <c r="T19" s="329"/>
      <c r="U19" s="294"/>
      <c r="V19" s="380"/>
      <c r="W19" s="329"/>
      <c r="X19" s="330"/>
      <c r="Y19" s="328"/>
      <c r="Z19" s="329"/>
      <c r="AE19" s="331">
        <v>672030</v>
      </c>
      <c r="AF19" s="382"/>
    </row>
    <row r="20" spans="2:33" ht="14.25" customHeight="1" x14ac:dyDescent="0.25">
      <c r="B20" s="317" t="s">
        <v>292</v>
      </c>
      <c r="C20" s="318">
        <v>6011</v>
      </c>
      <c r="D20" s="318">
        <v>28040</v>
      </c>
      <c r="E20" s="319">
        <v>672040</v>
      </c>
      <c r="F20" s="261" t="s">
        <v>308</v>
      </c>
      <c r="G20" s="320"/>
      <c r="H20" s="278">
        <f>K20+N20</f>
        <v>0</v>
      </c>
      <c r="I20" s="294"/>
      <c r="J20" s="374"/>
      <c r="K20" s="322">
        <f>+Q20+W20</f>
        <v>0</v>
      </c>
      <c r="L20" s="323" t="s">
        <v>176</v>
      </c>
      <c r="M20" s="321"/>
      <c r="N20" s="322">
        <f>+T20+Z20</f>
        <v>0</v>
      </c>
      <c r="O20" s="324" t="s">
        <v>176</v>
      </c>
      <c r="P20" s="321"/>
      <c r="Q20" s="329"/>
      <c r="R20" s="192"/>
      <c r="S20" s="321"/>
      <c r="T20" s="329"/>
      <c r="U20" s="294"/>
      <c r="V20" s="380"/>
      <c r="W20" s="329"/>
      <c r="X20" s="330"/>
      <c r="Y20" s="328"/>
      <c r="Z20" s="329"/>
      <c r="AE20" s="331">
        <v>672040</v>
      </c>
      <c r="AF20" s="382"/>
      <c r="AG20" s="382"/>
    </row>
    <row r="21" spans="2:33" ht="14.25" customHeight="1" x14ac:dyDescent="0.25">
      <c r="B21" s="317" t="s">
        <v>292</v>
      </c>
      <c r="C21" s="318">
        <v>6011</v>
      </c>
      <c r="D21" s="318">
        <v>28040</v>
      </c>
      <c r="E21" s="319">
        <v>672050</v>
      </c>
      <c r="F21" s="261" t="s">
        <v>309</v>
      </c>
      <c r="G21" s="320"/>
      <c r="H21" s="278">
        <f>K21+N21</f>
        <v>0</v>
      </c>
      <c r="I21" s="294"/>
      <c r="J21" s="383"/>
      <c r="K21" s="322">
        <f>+Q21+W21</f>
        <v>0</v>
      </c>
      <c r="L21" s="323" t="s">
        <v>176</v>
      </c>
      <c r="M21" s="321"/>
      <c r="N21" s="384">
        <f>+T21+Z21</f>
        <v>0</v>
      </c>
      <c r="O21" s="324" t="s">
        <v>176</v>
      </c>
      <c r="P21" s="321"/>
      <c r="Q21" s="329"/>
      <c r="R21" s="320"/>
      <c r="S21" s="385"/>
      <c r="T21" s="386"/>
      <c r="U21" s="294"/>
      <c r="V21" s="380"/>
      <c r="W21" s="329"/>
      <c r="X21" s="330"/>
      <c r="Y21" s="328"/>
      <c r="Z21" s="329"/>
      <c r="AE21" s="331">
        <v>672050</v>
      </c>
      <c r="AF21" s="382"/>
      <c r="AG21" s="382"/>
    </row>
    <row r="22" spans="2:33" ht="14.25" customHeight="1" x14ac:dyDescent="0.25">
      <c r="B22" s="317"/>
      <c r="C22" s="365"/>
      <c r="D22" s="365"/>
      <c r="E22" s="366"/>
      <c r="F22" s="332" t="s">
        <v>310</v>
      </c>
      <c r="G22" s="387"/>
      <c r="H22" s="370">
        <f>SUM(H17:H21)</f>
        <v>4010469.9699999997</v>
      </c>
      <c r="I22" s="294"/>
      <c r="J22" s="388"/>
      <c r="K22" s="370">
        <f>SUM(K17:K21)</f>
        <v>3289038.3399999994</v>
      </c>
      <c r="L22" s="323"/>
      <c r="M22" s="389"/>
      <c r="N22" s="370">
        <f>SUM(N17:N21)</f>
        <v>721431.63</v>
      </c>
      <c r="O22" s="324"/>
      <c r="P22" s="368"/>
      <c r="Q22" s="371">
        <f>SUM(Q17:Q21)</f>
        <v>3274372.2399999998</v>
      </c>
      <c r="R22" s="323"/>
      <c r="S22" s="387"/>
      <c r="T22" s="371">
        <f>SUM(T17:T21)</f>
        <v>722000.0199999999</v>
      </c>
      <c r="U22" s="294"/>
      <c r="V22" s="390"/>
      <c r="W22" s="391">
        <v>159847</v>
      </c>
      <c r="X22" s="330"/>
      <c r="Y22" s="392"/>
      <c r="Z22" s="371">
        <v>-9760.2899999999991</v>
      </c>
      <c r="AB22" s="372">
        <f>SUM(AB17:AB21)</f>
        <v>0</v>
      </c>
      <c r="AC22" s="372">
        <f>SUM(AC17:AC21)</f>
        <v>0</v>
      </c>
      <c r="AD22" s="372"/>
      <c r="AE22" s="366"/>
    </row>
    <row r="23" spans="2:33" ht="14.25" customHeight="1" x14ac:dyDescent="0.25">
      <c r="B23" s="317"/>
      <c r="C23" s="365"/>
      <c r="D23" s="365"/>
      <c r="E23" s="366"/>
      <c r="F23" s="332"/>
      <c r="G23" s="192"/>
      <c r="H23" s="373"/>
      <c r="I23" s="294"/>
      <c r="J23" s="374"/>
      <c r="K23" s="378"/>
      <c r="L23" s="376"/>
      <c r="M23" s="393"/>
      <c r="N23" s="378"/>
      <c r="O23" s="324"/>
      <c r="P23" s="368"/>
      <c r="Q23" s="278"/>
      <c r="R23" s="192"/>
      <c r="S23" s="192"/>
      <c r="T23" s="278"/>
      <c r="U23" s="294"/>
      <c r="V23" s="394"/>
      <c r="W23" s="369"/>
      <c r="X23" s="330"/>
      <c r="Y23" s="392"/>
      <c r="Z23" s="278"/>
      <c r="AE23" s="366"/>
    </row>
    <row r="24" spans="2:33" ht="14.25" customHeight="1" x14ac:dyDescent="0.25">
      <c r="B24" s="317" t="s">
        <v>292</v>
      </c>
      <c r="C24" s="318">
        <v>6011</v>
      </c>
      <c r="D24" s="318">
        <v>28040</v>
      </c>
      <c r="E24" s="319">
        <v>673020</v>
      </c>
      <c r="F24" s="261" t="s">
        <v>311</v>
      </c>
      <c r="G24" s="320"/>
      <c r="H24" s="278">
        <f>K24+N24</f>
        <v>211061.44999999998</v>
      </c>
      <c r="I24" s="294"/>
      <c r="J24" s="374">
        <v>333</v>
      </c>
      <c r="K24" s="322">
        <f t="shared" ref="K24:K38" si="4">+Q24+W24</f>
        <v>189562.55</v>
      </c>
      <c r="L24" s="323" t="s">
        <v>176</v>
      </c>
      <c r="M24" s="321"/>
      <c r="N24" s="322">
        <f t="shared" ref="N24:N33" si="5">+T24+Z24</f>
        <v>21498.9</v>
      </c>
      <c r="O24" s="324" t="s">
        <v>176</v>
      </c>
      <c r="P24" s="321"/>
      <c r="Q24" s="326">
        <v>189562.55</v>
      </c>
      <c r="R24" s="327"/>
      <c r="S24" s="325"/>
      <c r="T24" s="326">
        <v>21498.9</v>
      </c>
      <c r="U24" s="294"/>
      <c r="V24" s="380"/>
      <c r="W24" s="329"/>
      <c r="X24" s="395"/>
      <c r="Y24" s="395"/>
      <c r="Z24" s="329"/>
      <c r="AE24" s="331">
        <v>673020</v>
      </c>
    </row>
    <row r="25" spans="2:33" ht="14.25" customHeight="1" x14ac:dyDescent="0.25">
      <c r="B25" s="317" t="s">
        <v>292</v>
      </c>
      <c r="C25" s="318">
        <v>6011</v>
      </c>
      <c r="D25" s="318">
        <v>28040</v>
      </c>
      <c r="E25" s="319">
        <v>673030</v>
      </c>
      <c r="F25" s="261" t="s">
        <v>312</v>
      </c>
      <c r="G25" s="320"/>
      <c r="H25" s="278">
        <f t="shared" ref="H25:H38" si="6">K25+N25</f>
        <v>299395</v>
      </c>
      <c r="I25" s="294"/>
      <c r="J25" s="374"/>
      <c r="K25" s="322">
        <f t="shared" si="4"/>
        <v>265802.88</v>
      </c>
      <c r="L25" s="323" t="s">
        <v>176</v>
      </c>
      <c r="M25" s="321"/>
      <c r="N25" s="322">
        <f t="shared" si="5"/>
        <v>33592.120000000003</v>
      </c>
      <c r="O25" s="324" t="s">
        <v>176</v>
      </c>
      <c r="P25" s="321"/>
      <c r="Q25" s="326">
        <v>265802.88</v>
      </c>
      <c r="R25" s="327"/>
      <c r="S25" s="325"/>
      <c r="T25" s="326">
        <v>33592.120000000003</v>
      </c>
      <c r="U25" s="294"/>
      <c r="V25" s="380"/>
      <c r="W25" s="329"/>
      <c r="X25" s="395"/>
      <c r="Z25" s="329"/>
      <c r="AE25" s="331">
        <v>673030</v>
      </c>
    </row>
    <row r="26" spans="2:33" ht="14.25" customHeight="1" x14ac:dyDescent="0.25">
      <c r="B26" s="317" t="s">
        <v>292</v>
      </c>
      <c r="C26" s="318">
        <v>6011</v>
      </c>
      <c r="D26" s="318">
        <v>28040</v>
      </c>
      <c r="E26" s="319">
        <v>673040</v>
      </c>
      <c r="F26" s="261" t="s">
        <v>313</v>
      </c>
      <c r="G26" s="320"/>
      <c r="H26" s="278">
        <f t="shared" si="6"/>
        <v>0</v>
      </c>
      <c r="I26" s="294"/>
      <c r="J26" s="374"/>
      <c r="K26" s="336">
        <f t="shared" si="4"/>
        <v>0</v>
      </c>
      <c r="L26" s="323" t="s">
        <v>297</v>
      </c>
      <c r="M26" s="321"/>
      <c r="N26" s="336">
        <f>+T26+Z26</f>
        <v>0</v>
      </c>
      <c r="O26" s="324" t="s">
        <v>297</v>
      </c>
      <c r="P26" s="321"/>
      <c r="Q26" s="338"/>
      <c r="R26" s="327"/>
      <c r="S26" s="325"/>
      <c r="T26" s="338"/>
      <c r="U26" s="294"/>
      <c r="V26" s="380"/>
      <c r="W26" s="346"/>
      <c r="X26" s="395"/>
      <c r="Y26" s="395"/>
      <c r="Z26" s="346"/>
      <c r="AE26" s="342">
        <v>673040</v>
      </c>
    </row>
    <row r="27" spans="2:33" ht="14.25" customHeight="1" x14ac:dyDescent="0.25">
      <c r="B27" s="317" t="s">
        <v>292</v>
      </c>
      <c r="C27" s="318">
        <v>6011</v>
      </c>
      <c r="D27" s="318">
        <v>28040</v>
      </c>
      <c r="E27" s="319">
        <v>673050</v>
      </c>
      <c r="F27" s="261" t="s">
        <v>314</v>
      </c>
      <c r="G27" s="320"/>
      <c r="H27" s="278">
        <f t="shared" si="6"/>
        <v>0</v>
      </c>
      <c r="I27" s="294"/>
      <c r="J27" s="374" t="s">
        <v>91</v>
      </c>
      <c r="K27" s="336">
        <f t="shared" si="4"/>
        <v>0</v>
      </c>
      <c r="L27" s="323" t="s">
        <v>297</v>
      </c>
      <c r="M27" s="321"/>
      <c r="N27" s="336">
        <f t="shared" si="5"/>
        <v>0</v>
      </c>
      <c r="O27" s="324" t="s">
        <v>176</v>
      </c>
      <c r="P27" s="321"/>
      <c r="Q27" s="338">
        <v>0</v>
      </c>
      <c r="R27" s="327"/>
      <c r="S27" s="325"/>
      <c r="T27" s="338"/>
      <c r="U27" s="294"/>
      <c r="V27" s="380"/>
      <c r="W27" s="346"/>
      <c r="X27" s="395"/>
      <c r="Y27" s="395"/>
      <c r="Z27" s="346"/>
      <c r="AE27" s="342">
        <v>673050</v>
      </c>
    </row>
    <row r="28" spans="2:33" ht="14.25" customHeight="1" x14ac:dyDescent="0.25">
      <c r="B28" s="317" t="s">
        <v>292</v>
      </c>
      <c r="C28" s="318">
        <v>6011</v>
      </c>
      <c r="D28" s="318">
        <v>28040</v>
      </c>
      <c r="E28" s="319">
        <v>673060</v>
      </c>
      <c r="F28" s="261" t="s">
        <v>315</v>
      </c>
      <c r="G28" s="320"/>
      <c r="H28" s="278">
        <f t="shared" si="6"/>
        <v>0</v>
      </c>
      <c r="I28" s="294"/>
      <c r="J28" s="374"/>
      <c r="K28" s="336">
        <f>+Q28+W28</f>
        <v>0</v>
      </c>
      <c r="L28" s="323" t="s">
        <v>297</v>
      </c>
      <c r="M28" s="321"/>
      <c r="N28" s="336">
        <f t="shared" si="5"/>
        <v>0</v>
      </c>
      <c r="O28" s="324" t="s">
        <v>176</v>
      </c>
      <c r="P28" s="321"/>
      <c r="Q28" s="338"/>
      <c r="R28" s="327"/>
      <c r="T28" s="338"/>
      <c r="U28" s="294"/>
      <c r="V28" s="380"/>
      <c r="W28" s="346"/>
      <c r="X28" s="395"/>
      <c r="Y28" s="395"/>
      <c r="Z28" s="346"/>
      <c r="AE28" s="342">
        <v>673060</v>
      </c>
    </row>
    <row r="29" spans="2:33" ht="14.25" customHeight="1" x14ac:dyDescent="0.25">
      <c r="B29" s="317" t="s">
        <v>292</v>
      </c>
      <c r="C29" s="318">
        <v>6011</v>
      </c>
      <c r="D29" s="318">
        <v>28040</v>
      </c>
      <c r="E29" s="319">
        <v>673070</v>
      </c>
      <c r="F29" s="261" t="s">
        <v>316</v>
      </c>
      <c r="G29" s="320"/>
      <c r="H29" s="278">
        <f t="shared" si="6"/>
        <v>0</v>
      </c>
      <c r="I29" s="294"/>
      <c r="J29" s="374"/>
      <c r="K29" s="322">
        <f t="shared" si="4"/>
        <v>0</v>
      </c>
      <c r="L29" s="323" t="s">
        <v>297</v>
      </c>
      <c r="M29" s="321"/>
      <c r="N29" s="322">
        <f t="shared" si="5"/>
        <v>0</v>
      </c>
      <c r="O29" s="324" t="s">
        <v>176</v>
      </c>
      <c r="P29" s="321"/>
      <c r="Q29" s="326"/>
      <c r="R29" s="327"/>
      <c r="S29" s="325"/>
      <c r="T29" s="326"/>
      <c r="U29" s="294"/>
      <c r="V29" s="380"/>
      <c r="W29" s="329"/>
      <c r="X29" s="395"/>
      <c r="Y29" s="395"/>
      <c r="Z29" s="329"/>
      <c r="AE29" s="331">
        <v>673070</v>
      </c>
    </row>
    <row r="30" spans="2:33" ht="14.25" customHeight="1" x14ac:dyDescent="0.25">
      <c r="B30" s="317" t="s">
        <v>292</v>
      </c>
      <c r="C30" s="318">
        <v>6011</v>
      </c>
      <c r="D30" s="318">
        <v>28040</v>
      </c>
      <c r="E30" s="319">
        <v>673080</v>
      </c>
      <c r="F30" s="261" t="s">
        <v>317</v>
      </c>
      <c r="G30" s="320"/>
      <c r="H30" s="278">
        <f t="shared" si="6"/>
        <v>0</v>
      </c>
      <c r="I30" s="294"/>
      <c r="J30" s="374"/>
      <c r="K30" s="322">
        <f t="shared" si="4"/>
        <v>0</v>
      </c>
      <c r="L30" s="323" t="s">
        <v>176</v>
      </c>
      <c r="M30" s="321"/>
      <c r="N30" s="322">
        <f t="shared" si="5"/>
        <v>0</v>
      </c>
      <c r="O30" s="324" t="s">
        <v>176</v>
      </c>
      <c r="P30" s="321"/>
      <c r="Q30" s="326"/>
      <c r="R30" s="327"/>
      <c r="S30" s="325"/>
      <c r="T30" s="326"/>
      <c r="U30" s="294"/>
      <c r="V30" s="380"/>
      <c r="W30" s="329"/>
      <c r="X30" s="395"/>
      <c r="Y30" s="395"/>
      <c r="Z30" s="329"/>
      <c r="AE30" s="331">
        <v>673080</v>
      </c>
    </row>
    <row r="31" spans="2:33" ht="14.25" customHeight="1" x14ac:dyDescent="0.25">
      <c r="B31" s="317" t="s">
        <v>292</v>
      </c>
      <c r="C31" s="318">
        <v>6011</v>
      </c>
      <c r="D31" s="318">
        <v>28040</v>
      </c>
      <c r="E31" s="319">
        <v>673090</v>
      </c>
      <c r="F31" s="261" t="s">
        <v>318</v>
      </c>
      <c r="G31" s="320"/>
      <c r="H31" s="278">
        <f t="shared" si="6"/>
        <v>0</v>
      </c>
      <c r="I31" s="294"/>
      <c r="J31" s="374"/>
      <c r="K31" s="336">
        <f>+Q31+W31</f>
        <v>0</v>
      </c>
      <c r="L31" s="323" t="s">
        <v>297</v>
      </c>
      <c r="M31" s="321"/>
      <c r="N31" s="336">
        <f>+T31+Z31</f>
        <v>0</v>
      </c>
      <c r="O31" s="324" t="s">
        <v>297</v>
      </c>
      <c r="P31" s="321"/>
      <c r="Q31" s="338"/>
      <c r="R31" s="327"/>
      <c r="S31" s="325"/>
      <c r="T31" s="338"/>
      <c r="U31" s="294"/>
      <c r="V31" s="380"/>
      <c r="W31" s="346"/>
      <c r="X31" s="395"/>
      <c r="Y31" s="395"/>
      <c r="Z31" s="346"/>
      <c r="AE31" s="342">
        <v>673090</v>
      </c>
    </row>
    <row r="32" spans="2:33" ht="14.25" customHeight="1" x14ac:dyDescent="0.25">
      <c r="B32" s="317" t="s">
        <v>292</v>
      </c>
      <c r="C32" s="318">
        <v>6011</v>
      </c>
      <c r="D32" s="318">
        <v>28040</v>
      </c>
      <c r="E32" s="319">
        <v>673120</v>
      </c>
      <c r="F32" s="261" t="s">
        <v>319</v>
      </c>
      <c r="G32" s="320"/>
      <c r="H32" s="278">
        <f t="shared" si="6"/>
        <v>120953.28</v>
      </c>
      <c r="I32" s="294"/>
      <c r="J32" s="374"/>
      <c r="K32" s="322">
        <f>+Q32+W32</f>
        <v>108052.37999999999</v>
      </c>
      <c r="L32" s="323" t="s">
        <v>176</v>
      </c>
      <c r="M32" s="321"/>
      <c r="N32" s="322">
        <f>+T32+Z32</f>
        <v>12900.900000000001</v>
      </c>
      <c r="O32" s="324" t="s">
        <v>176</v>
      </c>
      <c r="P32" s="321"/>
      <c r="Q32" s="326">
        <v>108052.37999999999</v>
      </c>
      <c r="R32" s="327"/>
      <c r="S32" s="325"/>
      <c r="T32" s="326">
        <v>12900.900000000001</v>
      </c>
      <c r="U32" s="294"/>
      <c r="V32" s="380"/>
      <c r="W32" s="329"/>
      <c r="X32" s="395"/>
      <c r="Y32" s="395"/>
      <c r="Z32" s="329"/>
      <c r="AD32" s="299"/>
      <c r="AE32" s="331">
        <v>673120</v>
      </c>
    </row>
    <row r="33" spans="2:32" ht="14.25" customHeight="1" x14ac:dyDescent="0.25">
      <c r="B33" s="317" t="s">
        <v>292</v>
      </c>
      <c r="C33" s="318">
        <v>6011</v>
      </c>
      <c r="D33" s="318">
        <v>28040</v>
      </c>
      <c r="E33" s="319">
        <v>673130</v>
      </c>
      <c r="F33" s="261" t="s">
        <v>320</v>
      </c>
      <c r="G33" s="320"/>
      <c r="H33" s="278">
        <f t="shared" si="6"/>
        <v>0</v>
      </c>
      <c r="I33" s="294"/>
      <c r="J33" s="374"/>
      <c r="K33" s="322">
        <f t="shared" si="4"/>
        <v>0</v>
      </c>
      <c r="L33" s="323" t="s">
        <v>176</v>
      </c>
      <c r="M33" s="321"/>
      <c r="N33" s="322">
        <f t="shared" si="5"/>
        <v>0</v>
      </c>
      <c r="O33" s="324" t="s">
        <v>176</v>
      </c>
      <c r="P33" s="321"/>
      <c r="Q33" s="329"/>
      <c r="R33" s="192"/>
      <c r="S33" s="321"/>
      <c r="T33" s="329"/>
      <c r="U33" s="294"/>
      <c r="V33" s="380"/>
      <c r="W33" s="329"/>
      <c r="X33" s="330"/>
      <c r="Y33" s="328"/>
      <c r="Z33" s="329"/>
      <c r="AE33" s="331">
        <v>673130</v>
      </c>
    </row>
    <row r="34" spans="2:32" ht="14.25" customHeight="1" x14ac:dyDescent="0.25">
      <c r="B34" s="317" t="s">
        <v>292</v>
      </c>
      <c r="C34" s="318">
        <v>6011</v>
      </c>
      <c r="D34" s="318">
        <v>28040</v>
      </c>
      <c r="E34" s="319">
        <v>673140</v>
      </c>
      <c r="F34" s="261" t="s">
        <v>321</v>
      </c>
      <c r="G34" s="320"/>
      <c r="H34" s="278">
        <f t="shared" si="6"/>
        <v>0</v>
      </c>
      <c r="I34" s="294"/>
      <c r="J34" s="374"/>
      <c r="K34" s="336">
        <f t="shared" si="4"/>
        <v>0</v>
      </c>
      <c r="L34" s="323" t="s">
        <v>297</v>
      </c>
      <c r="M34" s="321"/>
      <c r="N34" s="336">
        <f>+T34+Z34</f>
        <v>0</v>
      </c>
      <c r="O34" s="324" t="s">
        <v>297</v>
      </c>
      <c r="P34" s="325"/>
      <c r="Q34" s="338"/>
      <c r="R34" s="327"/>
      <c r="S34" s="325"/>
      <c r="T34" s="338"/>
      <c r="U34" s="294"/>
      <c r="V34" s="396"/>
      <c r="W34" s="338"/>
      <c r="X34" s="334"/>
      <c r="Y34" s="333"/>
      <c r="Z34" s="338"/>
      <c r="AE34" s="342">
        <v>673140</v>
      </c>
    </row>
    <row r="35" spans="2:32" ht="14.25" customHeight="1" x14ac:dyDescent="0.25">
      <c r="B35" s="317" t="s">
        <v>292</v>
      </c>
      <c r="C35" s="318">
        <v>6011</v>
      </c>
      <c r="D35" s="318">
        <v>28040</v>
      </c>
      <c r="E35" s="319">
        <v>673160</v>
      </c>
      <c r="F35" s="261" t="s">
        <v>322</v>
      </c>
      <c r="G35" s="320"/>
      <c r="H35" s="278">
        <f t="shared" si="6"/>
        <v>0</v>
      </c>
      <c r="I35" s="294"/>
      <c r="J35" s="374"/>
      <c r="K35" s="336">
        <f t="shared" si="4"/>
        <v>0</v>
      </c>
      <c r="L35" s="323" t="s">
        <v>297</v>
      </c>
      <c r="M35" s="321"/>
      <c r="N35" s="336">
        <f>+T35+Z35</f>
        <v>0</v>
      </c>
      <c r="O35" s="324" t="s">
        <v>297</v>
      </c>
      <c r="P35" s="321"/>
      <c r="Q35" s="346"/>
      <c r="R35" s="192"/>
      <c r="S35" s="321"/>
      <c r="T35" s="346"/>
      <c r="U35" s="294"/>
      <c r="V35" s="396"/>
      <c r="W35" s="338"/>
      <c r="X35" s="334"/>
      <c r="Y35" s="333"/>
      <c r="Z35" s="338"/>
      <c r="AE35" s="342">
        <v>673160</v>
      </c>
    </row>
    <row r="36" spans="2:32" ht="14.25" customHeight="1" x14ac:dyDescent="0.25">
      <c r="B36" s="317" t="s">
        <v>292</v>
      </c>
      <c r="C36" s="318">
        <v>6011</v>
      </c>
      <c r="D36" s="318">
        <v>28040</v>
      </c>
      <c r="E36" s="319">
        <v>673180</v>
      </c>
      <c r="F36" s="261" t="s">
        <v>323</v>
      </c>
      <c r="G36" s="320"/>
      <c r="H36" s="278">
        <f t="shared" si="6"/>
        <v>0</v>
      </c>
      <c r="I36" s="294"/>
      <c r="J36" s="374"/>
      <c r="K36" s="322">
        <f>+Q36+W36</f>
        <v>0</v>
      </c>
      <c r="L36" s="323" t="s">
        <v>176</v>
      </c>
      <c r="M36" s="321"/>
      <c r="N36" s="322">
        <f>+T36+Z36</f>
        <v>0</v>
      </c>
      <c r="O36" s="324" t="s">
        <v>176</v>
      </c>
      <c r="P36" s="321"/>
      <c r="Q36" s="329"/>
      <c r="R36" s="192"/>
      <c r="S36" s="321"/>
      <c r="T36" s="329"/>
      <c r="U36" s="294"/>
      <c r="V36" s="396"/>
      <c r="W36" s="326"/>
      <c r="X36" s="397"/>
      <c r="Y36" s="397"/>
      <c r="Z36" s="326"/>
      <c r="AE36" s="331">
        <v>673180</v>
      </c>
    </row>
    <row r="37" spans="2:32" ht="14.25" customHeight="1" x14ac:dyDescent="0.25">
      <c r="B37" s="317" t="s">
        <v>292</v>
      </c>
      <c r="C37" s="318">
        <v>6011</v>
      </c>
      <c r="D37" s="318">
        <v>28040</v>
      </c>
      <c r="E37" s="319">
        <v>673200</v>
      </c>
      <c r="F37" s="398" t="s">
        <v>324</v>
      </c>
      <c r="G37" s="320"/>
      <c r="H37" s="399">
        <f t="shared" si="6"/>
        <v>0</v>
      </c>
      <c r="I37" s="294"/>
      <c r="J37" s="374"/>
      <c r="K37" s="336">
        <f t="shared" si="4"/>
        <v>0</v>
      </c>
      <c r="L37" s="323" t="s">
        <v>297</v>
      </c>
      <c r="M37" s="400"/>
      <c r="N37" s="336">
        <f>+T37+Z37</f>
        <v>0</v>
      </c>
      <c r="O37" s="324" t="s">
        <v>297</v>
      </c>
      <c r="P37" s="400"/>
      <c r="Q37" s="346"/>
      <c r="R37" s="192"/>
      <c r="S37" s="400"/>
      <c r="T37" s="401"/>
      <c r="U37" s="294"/>
      <c r="V37" s="402"/>
      <c r="W37" s="338"/>
      <c r="X37" s="334"/>
      <c r="Y37" s="333"/>
      <c r="Z37" s="338"/>
      <c r="AE37" s="342">
        <v>673200</v>
      </c>
    </row>
    <row r="38" spans="2:32" ht="14.25" customHeight="1" x14ac:dyDescent="0.25">
      <c r="B38" s="317" t="s">
        <v>292</v>
      </c>
      <c r="C38" s="318">
        <v>6011</v>
      </c>
      <c r="D38" s="318">
        <v>28040</v>
      </c>
      <c r="E38" s="319">
        <v>673210</v>
      </c>
      <c r="F38" s="403" t="s">
        <v>325</v>
      </c>
      <c r="G38" s="404"/>
      <c r="H38" s="405">
        <f t="shared" si="6"/>
        <v>0</v>
      </c>
      <c r="I38" s="406"/>
      <c r="J38" s="383"/>
      <c r="K38" s="336">
        <f t="shared" si="4"/>
        <v>0</v>
      </c>
      <c r="L38" s="407"/>
      <c r="M38" s="385"/>
      <c r="N38" s="336">
        <f t="shared" ref="N38" si="7">+T38+Z38</f>
        <v>0</v>
      </c>
      <c r="O38" s="408"/>
      <c r="P38" s="385"/>
      <c r="Q38" s="364"/>
      <c r="R38" s="409"/>
      <c r="S38" s="385"/>
      <c r="T38" s="364"/>
      <c r="U38" s="294"/>
      <c r="V38" s="402"/>
      <c r="W38" s="338"/>
      <c r="X38" s="334"/>
      <c r="Y38" s="333"/>
      <c r="Z38" s="338"/>
      <c r="AE38" s="342">
        <v>673210</v>
      </c>
    </row>
    <row r="39" spans="2:32" ht="15" x14ac:dyDescent="0.25">
      <c r="F39" s="261" t="s">
        <v>326</v>
      </c>
      <c r="G39" s="360"/>
      <c r="H39" s="278">
        <f>SUM(H24:H37)</f>
        <v>631409.73</v>
      </c>
      <c r="I39" s="406"/>
      <c r="J39" s="411"/>
      <c r="K39" s="370">
        <f>SUM(K24:K37)</f>
        <v>563417.80999999994</v>
      </c>
      <c r="L39" s="407"/>
      <c r="M39" s="192"/>
      <c r="N39" s="405">
        <f>SUM(N24:N37)</f>
        <v>67991.920000000013</v>
      </c>
      <c r="O39" s="294"/>
      <c r="P39" s="192"/>
      <c r="Q39" s="412">
        <f>SUM(Q24:Q38)</f>
        <v>563417.80999999994</v>
      </c>
      <c r="R39" s="323"/>
      <c r="S39" s="360"/>
      <c r="T39" s="412">
        <f>SUM(T24:T38)</f>
        <v>67991.920000000013</v>
      </c>
      <c r="U39" s="294"/>
      <c r="W39" s="371">
        <f>SUM(W24:W37)</f>
        <v>0</v>
      </c>
      <c r="Y39" s="413"/>
      <c r="Z39" s="371">
        <f>SUM(Z24:Z37)</f>
        <v>0</v>
      </c>
      <c r="AB39" s="372">
        <f>SUM(AB24:AB37)</f>
        <v>0</v>
      </c>
      <c r="AC39" s="372">
        <f>SUM(AC24:AC37)</f>
        <v>0</v>
      </c>
      <c r="AD39" s="372"/>
    </row>
    <row r="40" spans="2:32" ht="14.1" customHeight="1" x14ac:dyDescent="0.25">
      <c r="F40" s="332"/>
      <c r="G40" s="192"/>
      <c r="H40" s="414"/>
      <c r="I40" s="294"/>
      <c r="J40" s="415"/>
      <c r="K40" s="416"/>
      <c r="L40" s="417"/>
      <c r="M40" s="415"/>
      <c r="N40" s="416"/>
      <c r="O40" s="294"/>
      <c r="P40" s="418"/>
      <c r="Q40" s="419"/>
      <c r="R40" s="327"/>
      <c r="S40" s="418"/>
      <c r="T40" s="419"/>
      <c r="U40" s="294"/>
      <c r="V40" s="420"/>
      <c r="W40" s="414"/>
      <c r="Y40" s="394"/>
      <c r="Z40" s="421"/>
      <c r="AB40" s="293"/>
      <c r="AC40" s="293"/>
      <c r="AD40" s="293"/>
    </row>
    <row r="41" spans="2:32" ht="15.75" customHeight="1" x14ac:dyDescent="0.25">
      <c r="F41" s="422" t="s">
        <v>327</v>
      </c>
      <c r="G41" s="387">
        <f>+G39+G22+G15</f>
        <v>11981964</v>
      </c>
      <c r="H41" s="278">
        <f>+H39+H22+H15</f>
        <v>12650686.529999999</v>
      </c>
      <c r="I41" s="294"/>
      <c r="J41" s="422">
        <f>+J39+J22+J15</f>
        <v>8518474</v>
      </c>
      <c r="K41" s="371">
        <f>+K39+K22+K15</f>
        <v>9798562.6999999993</v>
      </c>
      <c r="L41" s="423"/>
      <c r="M41" s="422">
        <f>+M39+M22+M15</f>
        <v>3463490</v>
      </c>
      <c r="N41" s="371">
        <f>+N39+N22+N15</f>
        <v>2852123.83</v>
      </c>
      <c r="O41" s="306"/>
      <c r="P41" s="424">
        <f>+P39+P22+P15</f>
        <v>8518697</v>
      </c>
      <c r="Q41" s="425">
        <f>+Q39+Q22+Q15</f>
        <v>9784429.6399999987</v>
      </c>
      <c r="R41" s="262"/>
      <c r="S41" s="424">
        <f>+S39+S22+S15</f>
        <v>3463987</v>
      </c>
      <c r="T41" s="425">
        <f>+T39+T22+T15</f>
        <v>2839360.57</v>
      </c>
      <c r="U41" s="294"/>
      <c r="V41" s="196">
        <f>+V39+V22+V15</f>
        <v>-223</v>
      </c>
      <c r="W41" s="371">
        <f>+W39+W22+W15</f>
        <v>153041.25</v>
      </c>
      <c r="Y41" s="394">
        <f>+Y39+Y22+Y15</f>
        <v>-497</v>
      </c>
      <c r="Z41" s="371">
        <f>+Z39+Z22+Z15</f>
        <v>-24700.42</v>
      </c>
      <c r="AB41" s="372">
        <f>+AB39+AB22+AB15</f>
        <v>0</v>
      </c>
      <c r="AC41" s="372">
        <f>+AC39+AC22+AC15</f>
        <v>0</v>
      </c>
      <c r="AD41" s="372"/>
      <c r="AE41" s="382"/>
    </row>
    <row r="42" spans="2:32" ht="14.1" customHeight="1" x14ac:dyDescent="0.25">
      <c r="H42" s="426"/>
      <c r="I42" s="294"/>
      <c r="J42" s="427"/>
      <c r="K42" s="378"/>
      <c r="L42" s="417"/>
      <c r="M42" s="427"/>
      <c r="N42" s="378"/>
      <c r="O42" s="294"/>
      <c r="P42" s="327"/>
      <c r="Q42" s="266"/>
      <c r="R42" s="327"/>
      <c r="S42" s="327"/>
      <c r="T42" s="266"/>
      <c r="U42" s="294"/>
      <c r="V42" s="394"/>
      <c r="W42" s="421"/>
      <c r="Y42" s="394"/>
      <c r="Z42" s="421"/>
    </row>
    <row r="43" spans="2:32" ht="14.1" customHeight="1" x14ac:dyDescent="0.25">
      <c r="C43" s="192" t="s">
        <v>328</v>
      </c>
      <c r="I43" s="294"/>
      <c r="J43" s="428" t="s">
        <v>276</v>
      </c>
      <c r="K43" s="429">
        <f>+K8+K9+K10+K11+K12+K13+K14+K18+K26+K27+K28+K31+K34+K35+K37+K38</f>
        <v>5760885.5800000019</v>
      </c>
      <c r="L43" s="417" t="s">
        <v>297</v>
      </c>
      <c r="M43" s="427"/>
      <c r="N43" s="430">
        <f>+N8+N9+N10+N11+N12+N13+N14+N18+N26+N31+N34+N35+N37+N27+N28+N38</f>
        <v>1882318.06</v>
      </c>
      <c r="O43" s="324" t="s">
        <v>297</v>
      </c>
      <c r="P43" s="327"/>
      <c r="Q43" s="431">
        <f>+Q8+Q9+Q10+Q11+Q12+Q13+Q14+Q18+Q26+Q27+Q28+Q31+Q34+Q35+Q37+Q38</f>
        <v>5746421.8500000006</v>
      </c>
      <c r="R43" s="327"/>
      <c r="S43" s="428" t="s">
        <v>329</v>
      </c>
      <c r="T43" s="431">
        <f>+T8+T10+T9+T11+T12+T13+T14+T18+T26+T31+T34+T35+T37+T27+T28+T38</f>
        <v>1883168.86</v>
      </c>
      <c r="U43" s="294"/>
      <c r="W43" s="431">
        <f>+W8+W9+W10+W11+W12+W13+W14+W18+W26+W27+W28+W31+W34+W35+W37+W38</f>
        <v>14463.73</v>
      </c>
      <c r="Z43" s="431">
        <f>Z9+Z10+Z11+Z12+Z13+Z14+Z18+Z26+Z31+Z34+Z35+Z37+Z8+Z27+Z28+Z38</f>
        <v>-850.8</v>
      </c>
      <c r="AB43" s="432">
        <f>+AB8+AB9+AB10+AB11+AB12+AB13+AB14+AB18+AB26+AB27+AB28+AB29+AB31+AB34+AB35+AB37</f>
        <v>0</v>
      </c>
      <c r="AC43" s="432">
        <f>+AC6+AC8+AC9+AC10+AC11+AC12+AC13+AC14+AC18+AC26+AC31+AC34+AC35+AC37</f>
        <v>0</v>
      </c>
    </row>
    <row r="44" spans="2:32" ht="14.1" customHeight="1" x14ac:dyDescent="0.25">
      <c r="C44" s="192" t="s">
        <v>330</v>
      </c>
      <c r="I44" s="294"/>
      <c r="J44" s="428" t="s">
        <v>276</v>
      </c>
      <c r="K44" s="429">
        <f>+K6+K7+K17+K24+K25+K30+K32+K33+K36+K19+K20+K21+K29</f>
        <v>4037677.1199999992</v>
      </c>
      <c r="L44" s="417" t="s">
        <v>176</v>
      </c>
      <c r="M44" s="427"/>
      <c r="N44" s="430">
        <f>N6+N7+N17+N24+N25+N30+N32+N33+N36+N19+N20+N21+N29</f>
        <v>969805.77</v>
      </c>
      <c r="O44" s="324" t="s">
        <v>176</v>
      </c>
      <c r="P44" s="327"/>
      <c r="Q44" s="433">
        <f>Q6+Q7+Q17+Q24+Q25+Q30+Q32+Q33+Q36+Q19+Q20+Q21+Q29</f>
        <v>4038007.7899999991</v>
      </c>
      <c r="R44" s="327"/>
      <c r="S44" s="428" t="s">
        <v>329</v>
      </c>
      <c r="T44" s="433">
        <f>+T7+T6+T17+T24+T25+T30+T32+T33+T36+T19+T20+T21+T29</f>
        <v>956191.71</v>
      </c>
      <c r="U44" s="294"/>
      <c r="W44" s="433">
        <f>W6+W7+W17+W24+W25+W30+W32+W33+W36+W19+W20+W21+W29</f>
        <v>-330.67</v>
      </c>
      <c r="Z44" s="433">
        <f>+Z7+Z17+Z24+Z25+Z30+Z32+Z33+Z36+Z19+Z20+Z21+Z29+Z6</f>
        <v>13614.06</v>
      </c>
      <c r="AB44" s="434">
        <f>AB6+AB7+AB17+AB24+AB25+AB30+AB32+AB33+AB36</f>
        <v>0</v>
      </c>
      <c r="AC44" s="434">
        <f>+AC7+AC17+AC24+AC25+AC27+AC28+AC29+AC30+AC32+AC33+AC36</f>
        <v>0</v>
      </c>
    </row>
    <row r="45" spans="2:32" ht="15" customHeight="1" x14ac:dyDescent="0.25">
      <c r="C45" s="192" t="s">
        <v>3</v>
      </c>
      <c r="I45" s="294"/>
      <c r="J45" s="427"/>
      <c r="K45" s="371">
        <f>SUM(K43:K44)</f>
        <v>9798562.7000000011</v>
      </c>
      <c r="L45" s="435"/>
      <c r="M45" s="427"/>
      <c r="N45" s="371">
        <f>SUM(N43:N44)</f>
        <v>2852123.83</v>
      </c>
      <c r="O45" s="294"/>
      <c r="P45" s="327"/>
      <c r="Q45" s="371">
        <f>SUM(Q43:Q44)</f>
        <v>9784429.6400000006</v>
      </c>
      <c r="R45" s="327"/>
      <c r="S45" s="327"/>
      <c r="T45" s="371">
        <f>SUM(T43:T44)</f>
        <v>2839360.5700000003</v>
      </c>
      <c r="U45" s="294"/>
      <c r="W45" s="425">
        <f>SUM(W43:W44)</f>
        <v>14133.06</v>
      </c>
      <c r="Z45" s="425">
        <f>SUM(Z43:Z44)</f>
        <v>12763.26</v>
      </c>
      <c r="AB45" s="436">
        <f>SUM(AB43:AB44)</f>
        <v>0</v>
      </c>
      <c r="AC45" s="436">
        <f>SUM(AC43:AC44)</f>
        <v>0</v>
      </c>
      <c r="AD45" s="437"/>
      <c r="AE45" s="438">
        <f>+Z45+W45</f>
        <v>26896.32</v>
      </c>
    </row>
    <row r="46" spans="2:32" ht="15" customHeight="1" x14ac:dyDescent="0.25">
      <c r="AE46" s="438">
        <f>+[2]Invoices!$J$70</f>
        <v>26896.320000000025</v>
      </c>
      <c r="AF46" s="261" t="s">
        <v>331</v>
      </c>
    </row>
    <row r="47" spans="2:32" ht="15" x14ac:dyDescent="0.25">
      <c r="K47" s="439"/>
      <c r="M47" s="320" t="s">
        <v>332</v>
      </c>
      <c r="Q47" s="440" t="s">
        <v>333</v>
      </c>
      <c r="T47" s="441" t="s">
        <v>334</v>
      </c>
      <c r="W47" s="382"/>
      <c r="AE47" s="442">
        <f>+AE45-AE46</f>
        <v>0</v>
      </c>
      <c r="AF47" s="261"/>
    </row>
    <row r="48" spans="2:32" ht="15" customHeight="1" x14ac:dyDescent="0.25">
      <c r="F48" s="443"/>
      <c r="K48" s="439" t="s">
        <v>335</v>
      </c>
      <c r="M48" s="444">
        <f>K45+N45</f>
        <v>12650686.530000001</v>
      </c>
      <c r="P48" s="445" t="s">
        <v>335</v>
      </c>
      <c r="Q48" s="446">
        <f>Q45-Q11-Q12-Q13</f>
        <v>12306686.180000002</v>
      </c>
      <c r="R48" s="296"/>
      <c r="S48" s="445" t="s">
        <v>335</v>
      </c>
      <c r="T48" s="447">
        <f>T45-T11-T12-T13</f>
        <v>2840413.3400000003</v>
      </c>
      <c r="W48" s="448"/>
    </row>
    <row r="49" spans="6:26" ht="15" customHeight="1" x14ac:dyDescent="0.25">
      <c r="F49" s="443"/>
      <c r="G49" s="196" t="s">
        <v>336</v>
      </c>
      <c r="K49" s="439" t="s">
        <v>337</v>
      </c>
      <c r="M49" s="449">
        <v>13867395.380000001</v>
      </c>
      <c r="P49" s="445" t="s">
        <v>338</v>
      </c>
      <c r="Q49" s="450">
        <f>W45</f>
        <v>14133.06</v>
      </c>
      <c r="R49" s="354"/>
      <c r="S49" s="445" t="s">
        <v>338</v>
      </c>
      <c r="T49" s="450">
        <f>Z45</f>
        <v>12763.26</v>
      </c>
      <c r="U49" s="448"/>
      <c r="V49" s="448"/>
      <c r="W49" s="451"/>
      <c r="Z49" s="293"/>
    </row>
    <row r="50" spans="6:26" ht="15" customHeight="1" x14ac:dyDescent="0.25">
      <c r="F50" s="443"/>
      <c r="K50" s="439">
        <v>28051</v>
      </c>
      <c r="M50" s="452">
        <v>-123887.63</v>
      </c>
      <c r="P50" s="453" t="s">
        <v>339</v>
      </c>
      <c r="Q50" s="442">
        <f>Q48+Q49</f>
        <v>12320819.240000002</v>
      </c>
      <c r="R50" s="454"/>
      <c r="S50" s="453" t="s">
        <v>339</v>
      </c>
      <c r="T50" s="442">
        <f>T48+T49</f>
        <v>2853176.6</v>
      </c>
      <c r="U50" s="448"/>
      <c r="V50" s="448"/>
      <c r="W50" s="451"/>
      <c r="Z50" s="293"/>
    </row>
    <row r="51" spans="6:26" ht="15" customHeight="1" x14ac:dyDescent="0.25">
      <c r="F51" s="443"/>
      <c r="K51" s="439">
        <v>28051</v>
      </c>
      <c r="M51" s="455">
        <v>-1092821.22</v>
      </c>
      <c r="P51" s="453" t="s">
        <v>278</v>
      </c>
      <c r="Q51" s="456">
        <v>12320819.24</v>
      </c>
      <c r="R51" s="457"/>
      <c r="S51" s="453" t="s">
        <v>341</v>
      </c>
      <c r="T51" s="456">
        <v>2853176.6</v>
      </c>
      <c r="U51" s="448"/>
      <c r="V51" s="448"/>
      <c r="W51" s="451"/>
      <c r="Z51" s="293"/>
    </row>
    <row r="52" spans="6:26" ht="15" customHeight="1" x14ac:dyDescent="0.25">
      <c r="F52" s="443"/>
      <c r="K52" s="439" t="s">
        <v>340</v>
      </c>
      <c r="M52" s="444">
        <f>+M49+M50+M51</f>
        <v>12650686.529999999</v>
      </c>
      <c r="N52" s="196"/>
      <c r="Q52" s="442">
        <f>+Q51-Q50</f>
        <v>0</v>
      </c>
      <c r="R52" s="262"/>
      <c r="S52" s="262"/>
      <c r="T52" s="442">
        <f>+T51-T50</f>
        <v>0</v>
      </c>
      <c r="U52" s="448"/>
      <c r="V52" s="458"/>
      <c r="W52" s="451"/>
      <c r="Z52" s="293"/>
    </row>
  </sheetData>
  <mergeCells count="15">
    <mergeCell ref="V1:Z1"/>
    <mergeCell ref="B2:E2"/>
    <mergeCell ref="J2:N2"/>
    <mergeCell ref="P2:T2"/>
    <mergeCell ref="V2:Z2"/>
    <mergeCell ref="B5:E5"/>
    <mergeCell ref="AB3:AC3"/>
    <mergeCell ref="G4:H4"/>
    <mergeCell ref="J4:K4"/>
    <mergeCell ref="M4:N4"/>
    <mergeCell ref="P4:Q4"/>
    <mergeCell ref="S4:T4"/>
    <mergeCell ref="V4:W4"/>
    <mergeCell ref="Y4:Z4"/>
    <mergeCell ref="V3:Z3"/>
  </mergeCells>
  <printOptions gridLines="1"/>
  <pageMargins left="0.25" right="0" top="0.75" bottom="0" header="0.35" footer="0.24"/>
  <pageSetup scale="43" orientation="landscape" cellComments="asDisplayed" r:id="rId1"/>
  <headerFooter alignWithMargins="0">
    <oddHeader>&amp;C&amp;18&amp;A&amp;R&amp;18Page 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69"/>
  <sheetViews>
    <sheetView view="pageBreakPreview" zoomScale="75" zoomScaleNormal="100" zoomScaleSheetLayoutView="75" workbookViewId="0">
      <pane ySplit="7" topLeftCell="A8" activePane="bottomLeft" state="frozen"/>
      <selection activeCell="H129" sqref="H129"/>
      <selection pane="bottomLeft" activeCell="H69" sqref="H69"/>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8.88671875" style="1"/>
    <col min="10" max="10" width="8.21875" style="1" bestFit="1" customWidth="1"/>
    <col min="11" max="11" width="3.44140625" style="1" customWidth="1"/>
    <col min="12" max="12" width="8.21875" style="1" bestFit="1" customWidth="1"/>
    <col min="13" max="13" width="7.33203125" style="1" bestFit="1" customWidth="1"/>
    <col min="14" max="14" width="6.6640625" style="1" bestFit="1" customWidth="1"/>
    <col min="15" max="15" width="7.33203125" style="1" bestFit="1" customWidth="1"/>
    <col min="16" max="16" width="4.77734375" style="1" bestFit="1" customWidth="1"/>
    <col min="17" max="17" width="6.6640625" style="1" bestFit="1" customWidth="1"/>
    <col min="18" max="18" width="3.44140625" style="1" customWidth="1"/>
    <col min="19" max="19" width="8.109375" style="1" bestFit="1" customWidth="1"/>
    <col min="20" max="16384" width="8.88671875" style="1"/>
  </cols>
  <sheetData>
    <row r="1" spans="1:8" x14ac:dyDescent="0.2">
      <c r="A1" s="548" t="s">
        <v>13</v>
      </c>
      <c r="B1" s="549"/>
      <c r="C1" s="553" t="s">
        <v>14</v>
      </c>
      <c r="D1" s="553"/>
      <c r="E1" s="553"/>
      <c r="F1" s="553"/>
      <c r="G1" s="553"/>
      <c r="H1" s="554"/>
    </row>
    <row r="2" spans="1:8" x14ac:dyDescent="0.2">
      <c r="A2" s="541" t="s">
        <v>16</v>
      </c>
      <c r="B2" s="533"/>
      <c r="C2" s="555" t="s">
        <v>184</v>
      </c>
      <c r="D2" s="555"/>
      <c r="E2" s="555"/>
      <c r="F2" s="555"/>
      <c r="G2" s="555"/>
      <c r="H2" s="556"/>
    </row>
    <row r="3" spans="1:8" x14ac:dyDescent="0.2">
      <c r="A3" s="541" t="s">
        <v>17</v>
      </c>
      <c r="B3" s="533"/>
      <c r="C3" s="555" t="s">
        <v>185</v>
      </c>
      <c r="D3" s="555"/>
      <c r="E3" s="555"/>
      <c r="F3" s="555"/>
      <c r="G3" s="555"/>
      <c r="H3" s="556"/>
    </row>
    <row r="4" spans="1:8" x14ac:dyDescent="0.2">
      <c r="A4" s="541" t="s">
        <v>18</v>
      </c>
      <c r="B4" s="533"/>
      <c r="C4" s="555" t="s">
        <v>19</v>
      </c>
      <c r="D4" s="555"/>
      <c r="E4" s="555"/>
      <c r="F4" s="555"/>
      <c r="G4" s="555"/>
      <c r="H4" s="556"/>
    </row>
    <row r="5" spans="1:8" x14ac:dyDescent="0.2">
      <c r="A5" s="541" t="s">
        <v>20</v>
      </c>
      <c r="B5" s="533"/>
      <c r="C5" s="555" t="s">
        <v>30</v>
      </c>
      <c r="D5" s="555"/>
      <c r="E5" s="555"/>
      <c r="F5" s="555"/>
      <c r="G5" s="555"/>
      <c r="H5" s="556"/>
    </row>
    <row r="6" spans="1:8" x14ac:dyDescent="0.2">
      <c r="A6" s="541" t="s">
        <v>21</v>
      </c>
      <c r="B6" s="533"/>
      <c r="C6" s="555" t="s">
        <v>186</v>
      </c>
      <c r="D6" s="555"/>
      <c r="E6" s="555"/>
      <c r="F6" s="555"/>
      <c r="G6" s="555"/>
      <c r="H6" s="556"/>
    </row>
    <row r="7" spans="1:8" ht="27.75" customHeight="1" thickBot="1" x14ac:dyDescent="0.25">
      <c r="A7" s="542" t="s">
        <v>22</v>
      </c>
      <c r="B7" s="543"/>
      <c r="C7" s="558" t="s">
        <v>194</v>
      </c>
      <c r="D7" s="558"/>
      <c r="E7" s="558"/>
      <c r="F7" s="558"/>
      <c r="G7" s="558"/>
      <c r="H7" s="559"/>
    </row>
    <row r="8" spans="1:8" x14ac:dyDescent="0.2">
      <c r="A8" s="94"/>
      <c r="B8" s="94"/>
      <c r="C8" s="3"/>
      <c r="D8" s="3"/>
      <c r="E8" s="3"/>
      <c r="F8" s="3"/>
      <c r="G8" s="3"/>
      <c r="H8" s="3"/>
    </row>
    <row r="9" spans="1:8" ht="14.25" customHeight="1" x14ac:dyDescent="0.2">
      <c r="A9" s="93"/>
      <c r="D9" s="529" t="s">
        <v>38</v>
      </c>
      <c r="E9" s="529"/>
      <c r="F9" s="529"/>
    </row>
    <row r="10" spans="1:8" s="5" customFormat="1" x14ac:dyDescent="0.2">
      <c r="A10" s="5" t="s">
        <v>39</v>
      </c>
      <c r="B10" s="5" t="s">
        <v>4</v>
      </c>
      <c r="C10" s="5" t="s">
        <v>12</v>
      </c>
      <c r="D10" s="5" t="s">
        <v>23</v>
      </c>
      <c r="E10" s="5" t="s">
        <v>24</v>
      </c>
      <c r="F10" s="5" t="s">
        <v>2</v>
      </c>
      <c r="G10" s="5" t="s">
        <v>0</v>
      </c>
      <c r="H10" s="5" t="s">
        <v>1</v>
      </c>
    </row>
    <row r="11" spans="1:8" x14ac:dyDescent="0.2">
      <c r="A11" s="104"/>
      <c r="B11" s="104"/>
      <c r="C11" s="104"/>
      <c r="D11" s="104"/>
      <c r="E11" s="104"/>
      <c r="F11" s="104"/>
      <c r="G11" s="104"/>
      <c r="H11" s="96"/>
    </row>
    <row r="12" spans="1:8" hidden="1" x14ac:dyDescent="0.2">
      <c r="A12" s="557" t="s">
        <v>78</v>
      </c>
      <c r="B12" s="557"/>
      <c r="C12" s="557"/>
      <c r="D12" s="557"/>
      <c r="E12" s="557"/>
      <c r="F12" s="557"/>
      <c r="G12" s="96">
        <v>-14485606.119999999</v>
      </c>
      <c r="H12" s="96"/>
    </row>
    <row r="13" spans="1:8" hidden="1" x14ac:dyDescent="0.2">
      <c r="A13" s="557" t="s">
        <v>77</v>
      </c>
      <c r="B13" s="557"/>
      <c r="C13" s="557"/>
      <c r="D13" s="557"/>
      <c r="E13" s="557"/>
      <c r="F13" s="557"/>
      <c r="G13" s="96">
        <v>5863063.5199999996</v>
      </c>
      <c r="H13" s="96"/>
    </row>
    <row r="14" spans="1:8" hidden="1" x14ac:dyDescent="0.2">
      <c r="A14" s="557" t="s">
        <v>144</v>
      </c>
      <c r="B14" s="557"/>
      <c r="C14" s="557"/>
      <c r="D14" s="557"/>
      <c r="E14" s="557"/>
      <c r="F14" s="557"/>
      <c r="G14" s="96">
        <v>-504451.07</v>
      </c>
      <c r="H14" s="96"/>
    </row>
    <row r="15" spans="1:8" hidden="1" x14ac:dyDescent="0.2">
      <c r="A15" s="557" t="s">
        <v>84</v>
      </c>
      <c r="B15" s="557"/>
      <c r="C15" s="557"/>
      <c r="D15" s="557"/>
      <c r="E15" s="557"/>
      <c r="F15" s="557"/>
      <c r="G15" s="96">
        <v>-4085.68</v>
      </c>
      <c r="H15" s="96"/>
    </row>
    <row r="16" spans="1:8" hidden="1" x14ac:dyDescent="0.2">
      <c r="A16" s="557" t="s">
        <v>143</v>
      </c>
      <c r="B16" s="557"/>
      <c r="C16" s="557"/>
      <c r="D16" s="557"/>
      <c r="E16" s="557"/>
      <c r="F16" s="557"/>
      <c r="G16" s="103">
        <v>11617.84</v>
      </c>
      <c r="H16" s="96"/>
    </row>
    <row r="17" spans="1:19" hidden="1" x14ac:dyDescent="0.2">
      <c r="A17" s="557"/>
      <c r="B17" s="557"/>
      <c r="C17" s="557"/>
      <c r="D17" s="557"/>
      <c r="E17" s="557"/>
      <c r="F17" s="557"/>
      <c r="G17" s="96"/>
      <c r="H17" s="96">
        <f>SUM(G12:G16)</f>
        <v>-9119461.5099999998</v>
      </c>
    </row>
    <row r="18" spans="1:19" hidden="1" x14ac:dyDescent="0.2">
      <c r="A18" s="99">
        <f>+'FERC Interest Rates'!A54</f>
        <v>42643</v>
      </c>
      <c r="B18" s="96" t="s">
        <v>33</v>
      </c>
      <c r="C18" s="97">
        <f>+'Therm Sales'!I39</f>
        <v>7194580</v>
      </c>
      <c r="D18" s="96"/>
      <c r="E18" s="96">
        <f>SUM(ROUND(4084007*0.00601,2)+ROUND(3110573*0.03537,2))</f>
        <v>134565.85</v>
      </c>
      <c r="F18" s="96">
        <f>ROUND(H17*VLOOKUP(A18,FERCINT16,2)/365*VLOOKUP(A18,FERCINT16,3),2)</f>
        <v>-26234.07</v>
      </c>
      <c r="G18" s="96"/>
      <c r="H18" s="96">
        <f>H17+SUM(E18:G18)</f>
        <v>-9011129.7300000004</v>
      </c>
    </row>
    <row r="19" spans="1:19" hidden="1" x14ac:dyDescent="0.2">
      <c r="A19" s="99">
        <f>+'FERC Interest Rates'!A55</f>
        <v>42674</v>
      </c>
      <c r="B19" s="98">
        <v>3.5369999999999999E-2</v>
      </c>
      <c r="C19" s="97">
        <f>+'Therm Sales'!I40</f>
        <v>10004553</v>
      </c>
      <c r="D19" s="102"/>
      <c r="E19" s="56">
        <f>ROUND(C19*B19,2)-0.01</f>
        <v>353861.02999999997</v>
      </c>
      <c r="F19" s="96">
        <f>ROUND(H18*VLOOKUP(A19,FERCINT16,2)/365*VLOOKUP(A19,FERCINT16,3),2)</f>
        <v>-26786.51</v>
      </c>
      <c r="G19" s="96"/>
      <c r="H19" s="96">
        <f t="shared" ref="H19:H69" si="0">H18+SUM(D19:G19)</f>
        <v>-8684055.2100000009</v>
      </c>
    </row>
    <row r="20" spans="1:19" hidden="1" x14ac:dyDescent="0.2">
      <c r="A20" s="99">
        <f>+'FERC Interest Rates'!A56</f>
        <v>42704</v>
      </c>
      <c r="B20" s="98">
        <v>3.5369999999999999E-2</v>
      </c>
      <c r="C20" s="97">
        <f>+'Therm Sales'!I41</f>
        <v>14546209</v>
      </c>
      <c r="D20" s="101"/>
      <c r="E20" s="35">
        <f>ROUND(C20*B20,2)</f>
        <v>514499.41</v>
      </c>
      <c r="F20" s="96">
        <f>ROUND(H19*VLOOKUP(A20,FERCINT16,2)/365*VLOOKUP(A20,FERCINT16,3),2)</f>
        <v>-24981.53</v>
      </c>
      <c r="G20" s="100"/>
      <c r="H20" s="95">
        <f t="shared" si="0"/>
        <v>-8194537.330000001</v>
      </c>
    </row>
    <row r="21" spans="1:19" hidden="1" x14ac:dyDescent="0.2">
      <c r="A21" s="99">
        <f>+'FERC Interest Rates'!A57</f>
        <v>42735</v>
      </c>
      <c r="B21" s="98">
        <v>3.5369999999999999E-2</v>
      </c>
      <c r="C21" s="97">
        <f>+'Therm Sales'!I42</f>
        <v>29320569</v>
      </c>
      <c r="D21" s="101"/>
      <c r="E21" s="56">
        <f>ROUND(C21*B21,2)-0.02</f>
        <v>1037068.51</v>
      </c>
      <c r="F21" s="96">
        <f>ROUND(H20*VLOOKUP(A21,FERCINT16,2)/365*VLOOKUP(A21,FERCINT16,3),2)</f>
        <v>-24359.1</v>
      </c>
      <c r="G21" s="100"/>
      <c r="H21" s="95">
        <f t="shared" si="0"/>
        <v>-7181827.9200000009</v>
      </c>
    </row>
    <row r="22" spans="1:19" hidden="1" x14ac:dyDescent="0.2">
      <c r="A22" s="99">
        <f>+'FERC Interest Rates'!A58</f>
        <v>42766</v>
      </c>
      <c r="B22" s="98">
        <v>3.5369999999999999E-2</v>
      </c>
      <c r="C22" s="97">
        <f>+'Therm Sales'!I43</f>
        <v>50070976</v>
      </c>
      <c r="D22" s="101"/>
      <c r="E22" s="56">
        <f>ROUND(C22*B22,2)-0.01</f>
        <v>1771010.41</v>
      </c>
      <c r="F22" s="96">
        <f t="shared" ref="F22:F31" si="1">ROUND(H21*VLOOKUP(A22,FERCINT17,2)/365*VLOOKUP(A22,FERCINT17,3),2)</f>
        <v>-21348.720000000001</v>
      </c>
      <c r="G22" s="100"/>
      <c r="H22" s="95">
        <f t="shared" si="0"/>
        <v>-5432166.2300000004</v>
      </c>
    </row>
    <row r="23" spans="1:19" hidden="1" x14ac:dyDescent="0.2">
      <c r="A23" s="99">
        <f>+'FERC Interest Rates'!A59</f>
        <v>42794</v>
      </c>
      <c r="B23" s="98">
        <v>3.5369999999999999E-2</v>
      </c>
      <c r="C23" s="97">
        <f>+'Therm Sales'!I44</f>
        <v>39357111</v>
      </c>
      <c r="D23" s="101"/>
      <c r="E23" s="35">
        <f>ROUND(C23*B23,2)</f>
        <v>1392061.02</v>
      </c>
      <c r="F23" s="96">
        <f t="shared" si="1"/>
        <v>-14584.99</v>
      </c>
      <c r="G23" s="100"/>
      <c r="H23" s="95">
        <f t="shared" si="0"/>
        <v>-4054690.2</v>
      </c>
    </row>
    <row r="24" spans="1:19" hidden="1" x14ac:dyDescent="0.2">
      <c r="A24" s="99">
        <f>+'FERC Interest Rates'!A60</f>
        <v>42825</v>
      </c>
      <c r="B24" s="98">
        <v>3.5369999999999999E-2</v>
      </c>
      <c r="C24" s="97">
        <f>+'Therm Sales'!I45</f>
        <v>35872415</v>
      </c>
      <c r="D24" s="101"/>
      <c r="E24" s="56">
        <f>ROUND(C24*B24,2)-0.01</f>
        <v>1268807.31</v>
      </c>
      <c r="F24" s="96">
        <f t="shared" si="1"/>
        <v>-12052.98</v>
      </c>
      <c r="G24" s="100"/>
      <c r="H24" s="95">
        <f t="shared" si="0"/>
        <v>-2797935.87</v>
      </c>
    </row>
    <row r="25" spans="1:19" hidden="1" x14ac:dyDescent="0.2">
      <c r="A25" s="99">
        <f>+'FERC Interest Rates'!A61</f>
        <v>42855</v>
      </c>
      <c r="B25" s="98">
        <v>3.5369999999999999E-2</v>
      </c>
      <c r="C25" s="97">
        <f>+'Therm Sales'!I46</f>
        <v>21376214</v>
      </c>
      <c r="D25" s="101"/>
      <c r="E25" s="35">
        <f>ROUND(C25*B25,2)</f>
        <v>756076.69</v>
      </c>
      <c r="F25" s="96">
        <f t="shared" si="1"/>
        <v>-8531.7900000000009</v>
      </c>
      <c r="G25" s="100"/>
      <c r="H25" s="95">
        <f t="shared" si="0"/>
        <v>-2050390.9700000002</v>
      </c>
    </row>
    <row r="26" spans="1:19" hidden="1" x14ac:dyDescent="0.2">
      <c r="A26" s="99">
        <f>+'FERC Interest Rates'!A62</f>
        <v>42886</v>
      </c>
      <c r="B26" s="98">
        <v>3.5369999999999999E-2</v>
      </c>
      <c r="C26" s="97">
        <f>+'Therm Sales'!I47</f>
        <v>15973162</v>
      </c>
      <c r="D26" s="42"/>
      <c r="E26" s="56">
        <f>ROUND(C26*B26,2)+0.01</f>
        <v>564970.75</v>
      </c>
      <c r="F26" s="96">
        <f t="shared" si="1"/>
        <v>-6460.7</v>
      </c>
      <c r="H26" s="95">
        <f t="shared" si="0"/>
        <v>-1491880.9200000002</v>
      </c>
    </row>
    <row r="27" spans="1:19" hidden="1" x14ac:dyDescent="0.2">
      <c r="A27" s="99">
        <f>+'FERC Interest Rates'!A63</f>
        <v>42916</v>
      </c>
      <c r="B27" s="98">
        <v>3.5369999999999999E-2</v>
      </c>
      <c r="C27" s="97">
        <f>+'Therm Sales'!I48</f>
        <v>10444773</v>
      </c>
      <c r="D27" s="42"/>
      <c r="E27" s="56">
        <f>ROUND(C27*B27,2)+0.01</f>
        <v>369431.63</v>
      </c>
      <c r="F27" s="96">
        <f t="shared" si="1"/>
        <v>-4549.21</v>
      </c>
      <c r="H27" s="95">
        <f t="shared" si="0"/>
        <v>-1126998.5000000002</v>
      </c>
    </row>
    <row r="28" spans="1:19" hidden="1" x14ac:dyDescent="0.2">
      <c r="A28" s="99">
        <f>+'FERC Interest Rates'!A64</f>
        <v>42947</v>
      </c>
      <c r="B28" s="98">
        <v>3.5369999999999999E-2</v>
      </c>
      <c r="C28" s="97">
        <f>+'Therm Sales'!I49</f>
        <v>6810348</v>
      </c>
      <c r="D28" s="42"/>
      <c r="E28" s="35">
        <f>ROUND(C28*B28,2)</f>
        <v>240882.01</v>
      </c>
      <c r="F28" s="96">
        <f t="shared" si="1"/>
        <v>-3790.42</v>
      </c>
      <c r="H28" s="95">
        <f t="shared" si="0"/>
        <v>-889906.91000000027</v>
      </c>
    </row>
    <row r="29" spans="1:19" hidden="1" x14ac:dyDescent="0.2">
      <c r="A29" s="99">
        <f>+'FERC Interest Rates'!A65</f>
        <v>42978</v>
      </c>
      <c r="B29" s="98">
        <v>3.5369999999999999E-2</v>
      </c>
      <c r="C29" s="97">
        <f>+'Therm Sales'!I50</f>
        <v>6787724</v>
      </c>
      <c r="D29" s="42"/>
      <c r="E29" s="35">
        <f>ROUND(C29*B29,2)</f>
        <v>240081.8</v>
      </c>
      <c r="F29" s="96">
        <f t="shared" si="1"/>
        <v>-2993.01</v>
      </c>
      <c r="H29" s="95">
        <f t="shared" si="0"/>
        <v>-652818.12000000034</v>
      </c>
    </row>
    <row r="30" spans="1:19" hidden="1" x14ac:dyDescent="0.2">
      <c r="A30" s="99">
        <f>+'FERC Interest Rates'!A66</f>
        <v>43008</v>
      </c>
      <c r="B30" s="98">
        <v>3.5369999999999999E-2</v>
      </c>
      <c r="C30" s="97">
        <f>+'Therm Sales'!I51</f>
        <v>6429137</v>
      </c>
      <c r="D30" s="42"/>
      <c r="E30" s="35">
        <f>ROUND(C30*B30,2)</f>
        <v>227398.58</v>
      </c>
      <c r="F30" s="96">
        <f t="shared" si="1"/>
        <v>-2124.79</v>
      </c>
      <c r="H30" s="95">
        <f t="shared" si="0"/>
        <v>-427544.33000000037</v>
      </c>
      <c r="K30" s="15">
        <v>502</v>
      </c>
      <c r="L30" s="15">
        <v>503</v>
      </c>
      <c r="M30" s="15">
        <v>504</v>
      </c>
      <c r="N30" s="15">
        <v>505</v>
      </c>
      <c r="O30" s="15">
        <v>511</v>
      </c>
      <c r="P30" s="15">
        <v>512</v>
      </c>
      <c r="Q30" s="15">
        <v>570</v>
      </c>
      <c r="R30" s="15">
        <v>577</v>
      </c>
      <c r="S30" s="15" t="s">
        <v>3</v>
      </c>
    </row>
    <row r="31" spans="1:19" hidden="1" x14ac:dyDescent="0.2">
      <c r="A31" s="99">
        <f>+'FERC Interest Rates'!A67</f>
        <v>43039</v>
      </c>
      <c r="B31" s="98">
        <v>3.5369999999999999E-2</v>
      </c>
      <c r="C31" s="97">
        <f>+'Therm Sales'!I52</f>
        <v>11413067</v>
      </c>
      <c r="D31" s="42"/>
      <c r="E31" s="35">
        <f>ROUND(C31*B31,2)</f>
        <v>403680.18</v>
      </c>
      <c r="F31" s="96">
        <f t="shared" si="1"/>
        <v>-1528.73</v>
      </c>
      <c r="H31" s="95">
        <f t="shared" si="0"/>
        <v>-25392.880000000354</v>
      </c>
      <c r="J31" s="1" t="s">
        <v>114</v>
      </c>
      <c r="K31" s="8">
        <v>21608</v>
      </c>
      <c r="L31" s="8">
        <v>6713843</v>
      </c>
      <c r="M31" s="8">
        <v>4550202</v>
      </c>
      <c r="N31" s="8">
        <v>687511</v>
      </c>
      <c r="O31" s="8">
        <f>560996+175575</f>
        <v>736571</v>
      </c>
      <c r="P31" s="8">
        <v>2035</v>
      </c>
      <c r="Q31" s="8">
        <v>0</v>
      </c>
      <c r="R31" s="8">
        <v>0</v>
      </c>
      <c r="S31" s="8">
        <f>SUM(K31:R31)</f>
        <v>12711770</v>
      </c>
    </row>
    <row r="32" spans="1:19" hidden="1" x14ac:dyDescent="0.2">
      <c r="A32" s="528" t="s">
        <v>142</v>
      </c>
      <c r="B32" s="528"/>
      <c r="C32" s="528"/>
      <c r="D32" s="528"/>
      <c r="E32" s="528"/>
      <c r="F32" s="528"/>
      <c r="G32" s="1">
        <v>12083050.699999999</v>
      </c>
      <c r="H32" s="95">
        <f t="shared" si="0"/>
        <v>12057657.819999998</v>
      </c>
      <c r="J32" s="1" t="s">
        <v>113</v>
      </c>
      <c r="K32" s="8">
        <v>17127</v>
      </c>
      <c r="L32" s="8">
        <v>3745285</v>
      </c>
      <c r="M32" s="8">
        <f>2334076+1372</f>
        <v>2335448</v>
      </c>
      <c r="N32" s="8">
        <f>372+298875</f>
        <v>299247</v>
      </c>
      <c r="O32" s="8">
        <f>373602+116927</f>
        <v>490529</v>
      </c>
      <c r="P32" s="8">
        <v>2035</v>
      </c>
      <c r="Q32" s="8">
        <v>212628</v>
      </c>
      <c r="R32" s="8">
        <v>17027</v>
      </c>
      <c r="S32" s="8">
        <f>SUM(K32:R32)</f>
        <v>7119326</v>
      </c>
    </row>
    <row r="33" spans="1:19" hidden="1" x14ac:dyDescent="0.2">
      <c r="A33" s="99">
        <f>+'FERC Interest Rates'!A68</f>
        <v>43069</v>
      </c>
      <c r="B33" s="96" t="s">
        <v>33</v>
      </c>
      <c r="C33" s="97">
        <f>+'Therm Sales'!I53</f>
        <v>19831096</v>
      </c>
      <c r="D33" s="42"/>
      <c r="E33" s="96">
        <f>SUM(ROUND(7119326*-0.05322,2)+ROUND(12711770*0.03537,2))</f>
        <v>70724.76999999996</v>
      </c>
      <c r="F33" s="96">
        <f>ROUND(H32*VLOOKUP(A33,FERCINT17,2)/365*VLOOKUP(A33,FERCINT17,3),2)</f>
        <v>41722.800000000003</v>
      </c>
      <c r="H33" s="95">
        <f t="shared" si="0"/>
        <v>12170105.389999999</v>
      </c>
      <c r="J33" s="1" t="s">
        <v>3</v>
      </c>
      <c r="K33" s="66">
        <f t="shared" ref="K33:S33" si="2">SUM(K31:K32)</f>
        <v>38735</v>
      </c>
      <c r="L33" s="66">
        <f t="shared" si="2"/>
        <v>10459128</v>
      </c>
      <c r="M33" s="66">
        <f t="shared" si="2"/>
        <v>6885650</v>
      </c>
      <c r="N33" s="66">
        <f t="shared" si="2"/>
        <v>986758</v>
      </c>
      <c r="O33" s="66">
        <f t="shared" si="2"/>
        <v>1227100</v>
      </c>
      <c r="P33" s="66">
        <f t="shared" si="2"/>
        <v>4070</v>
      </c>
      <c r="Q33" s="66">
        <f t="shared" si="2"/>
        <v>212628</v>
      </c>
      <c r="R33" s="66">
        <f t="shared" si="2"/>
        <v>17027</v>
      </c>
      <c r="S33" s="66">
        <f t="shared" si="2"/>
        <v>19831096</v>
      </c>
    </row>
    <row r="34" spans="1:19" hidden="1" x14ac:dyDescent="0.2">
      <c r="A34" s="99">
        <f>+'FERC Interest Rates'!A69</f>
        <v>43100</v>
      </c>
      <c r="B34" s="98">
        <v>-5.3220000000000003E-2</v>
      </c>
      <c r="C34" s="97">
        <f>+'Therm Sales'!I54</f>
        <v>29973671</v>
      </c>
      <c r="D34" s="42"/>
      <c r="E34" s="35">
        <f>ROUND(C34*B34,2)</f>
        <v>-1595198.77</v>
      </c>
      <c r="F34" s="96">
        <f>ROUND(H33*VLOOKUP(A34,FERCINT17,2)/365*VLOOKUP(A34,FERCINT17,3),2)</f>
        <v>43515.63</v>
      </c>
      <c r="H34" s="95">
        <f t="shared" si="0"/>
        <v>10618422.249999998</v>
      </c>
    </row>
    <row r="35" spans="1:19" hidden="1" x14ac:dyDescent="0.2">
      <c r="A35" s="99">
        <f>+'FERC Interest Rates'!A70</f>
        <v>43131</v>
      </c>
      <c r="B35" s="98">
        <v>-5.3220000000000003E-2</v>
      </c>
      <c r="C35" s="97">
        <f>+'Therm Sales'!I55</f>
        <v>41563527</v>
      </c>
      <c r="D35" s="42"/>
      <c r="E35" s="35">
        <f>ROUND(C35*B35,2)</f>
        <v>-2212010.91</v>
      </c>
      <c r="F35" s="96">
        <f t="shared" ref="F35:F44" si="3">ROUND(H34*VLOOKUP(A35,FERCINT18,2)/365*VLOOKUP(A35,FERCINT18,3),2)</f>
        <v>38328.14</v>
      </c>
      <c r="H35" s="95">
        <f t="shared" si="0"/>
        <v>8444739.4799999986</v>
      </c>
    </row>
    <row r="36" spans="1:19" hidden="1" x14ac:dyDescent="0.2">
      <c r="A36" s="99">
        <f>+'FERC Interest Rates'!A71</f>
        <v>43159</v>
      </c>
      <c r="B36" s="98">
        <v>-5.3220000000000003E-2</v>
      </c>
      <c r="C36" s="97">
        <f>+'Therm Sales'!I56</f>
        <v>29732218</v>
      </c>
      <c r="D36" s="42"/>
      <c r="E36" s="35">
        <f>ROUND(C36*B36,2)</f>
        <v>-1582348.64</v>
      </c>
      <c r="F36" s="96">
        <f t="shared" si="3"/>
        <v>27532.16</v>
      </c>
      <c r="H36" s="95">
        <f t="shared" si="0"/>
        <v>6889922.9999999981</v>
      </c>
    </row>
    <row r="37" spans="1:19" hidden="1" x14ac:dyDescent="0.2">
      <c r="A37" s="99">
        <f>+'FERC Interest Rates'!A72</f>
        <v>43190</v>
      </c>
      <c r="B37" s="98">
        <v>-5.3220000000000003E-2</v>
      </c>
      <c r="C37" s="97">
        <f>+'Therm Sales'!I57</f>
        <v>34772590</v>
      </c>
      <c r="D37" s="42"/>
      <c r="E37" s="56">
        <f>ROUND(C37*B37,2)+0.01</f>
        <v>-1850597.23</v>
      </c>
      <c r="F37" s="96">
        <f t="shared" si="3"/>
        <v>24869.79</v>
      </c>
      <c r="H37" s="95">
        <f t="shared" si="0"/>
        <v>5064195.5599999987</v>
      </c>
    </row>
    <row r="38" spans="1:19" hidden="1" x14ac:dyDescent="0.2">
      <c r="A38" s="99">
        <f>+'FERC Interest Rates'!A73</f>
        <v>43220</v>
      </c>
      <c r="B38" s="98">
        <v>-5.3220000000000003E-2</v>
      </c>
      <c r="C38" s="97">
        <f>+'Therm Sales'!I58</f>
        <v>23972789</v>
      </c>
      <c r="D38" s="42"/>
      <c r="E38" s="56">
        <f>ROUND(C38*B38,2)-0.01</f>
        <v>-1275831.8400000001</v>
      </c>
      <c r="F38" s="96">
        <f t="shared" si="3"/>
        <v>18605.72</v>
      </c>
      <c r="H38" s="95">
        <f t="shared" si="0"/>
        <v>3806969.4399999985</v>
      </c>
    </row>
    <row r="39" spans="1:19" hidden="1" x14ac:dyDescent="0.2">
      <c r="A39" s="99">
        <f>+'FERC Interest Rates'!A74</f>
        <v>43251</v>
      </c>
      <c r="B39" s="98">
        <v>-5.3220000000000003E-2</v>
      </c>
      <c r="C39" s="97">
        <f>+'Therm Sales'!I59</f>
        <v>14908800</v>
      </c>
      <c r="D39" s="42"/>
      <c r="E39" s="56">
        <f>ROUND(C39*B39,2)+0.02</f>
        <v>-793446.32</v>
      </c>
      <c r="F39" s="96">
        <f t="shared" si="3"/>
        <v>14452.92</v>
      </c>
      <c r="H39" s="95">
        <f t="shared" si="0"/>
        <v>3027976.0399999986</v>
      </c>
    </row>
    <row r="40" spans="1:19" hidden="1" x14ac:dyDescent="0.2">
      <c r="A40" s="99">
        <f>+'FERC Interest Rates'!A75</f>
        <v>43281</v>
      </c>
      <c r="B40" s="98">
        <v>-5.3220000000000003E-2</v>
      </c>
      <c r="C40" s="97">
        <f>+'Therm Sales'!I60</f>
        <v>8932302</v>
      </c>
      <c r="D40" s="42"/>
      <c r="E40" s="35">
        <f>ROUND(C40*B40,2)</f>
        <v>-475377.11</v>
      </c>
      <c r="F40" s="96">
        <f t="shared" si="3"/>
        <v>11124.7</v>
      </c>
      <c r="H40" s="95">
        <f t="shared" si="0"/>
        <v>2563723.6299999985</v>
      </c>
    </row>
    <row r="41" spans="1:19" hidden="1" x14ac:dyDescent="0.2">
      <c r="A41" s="99">
        <f>+'FERC Interest Rates'!A76</f>
        <v>43312</v>
      </c>
      <c r="B41" s="98">
        <v>-5.3220000000000003E-2</v>
      </c>
      <c r="C41" s="97">
        <f>+'Therm Sales'!I61</f>
        <v>7315304</v>
      </c>
      <c r="D41" s="42"/>
      <c r="E41" s="35">
        <f>ROUND(C41*B41,2)</f>
        <v>-389320.48</v>
      </c>
      <c r="F41" s="96">
        <f t="shared" si="3"/>
        <v>10212.049999999999</v>
      </c>
      <c r="H41" s="95">
        <f t="shared" si="0"/>
        <v>2184615.1999999983</v>
      </c>
    </row>
    <row r="42" spans="1:19" hidden="1" x14ac:dyDescent="0.2">
      <c r="A42" s="99">
        <f>+'FERC Interest Rates'!A77</f>
        <v>43343</v>
      </c>
      <c r="B42" s="98">
        <v>-5.3220000000000003E-2</v>
      </c>
      <c r="C42" s="97">
        <f>+'Therm Sales'!I62</f>
        <v>6809893</v>
      </c>
      <c r="D42" s="42"/>
      <c r="E42" s="35">
        <f>ROUND(C42*B42,2)</f>
        <v>-362422.51</v>
      </c>
      <c r="F42" s="96">
        <f t="shared" si="3"/>
        <v>8701.9500000000007</v>
      </c>
      <c r="H42" s="95">
        <f t="shared" si="0"/>
        <v>1830894.6399999983</v>
      </c>
    </row>
    <row r="43" spans="1:19" hidden="1" x14ac:dyDescent="0.2">
      <c r="A43" s="99">
        <f>+'FERC Interest Rates'!A78</f>
        <v>43373</v>
      </c>
      <c r="B43" s="98">
        <v>-5.3220000000000003E-2</v>
      </c>
      <c r="C43" s="97">
        <f>+'Therm Sales'!I63</f>
        <v>6985938</v>
      </c>
      <c r="D43" s="42"/>
      <c r="E43" s="56">
        <f>ROUND(C43*B43,2)-0.01</f>
        <v>-371791.63</v>
      </c>
      <c r="F43" s="96">
        <f t="shared" si="3"/>
        <v>7057.72</v>
      </c>
      <c r="H43" s="95">
        <f t="shared" si="0"/>
        <v>1466160.7299999981</v>
      </c>
      <c r="K43" s="15">
        <v>502</v>
      </c>
      <c r="L43" s="15">
        <v>503</v>
      </c>
      <c r="M43" s="15">
        <v>504</v>
      </c>
      <c r="N43" s="15">
        <v>505</v>
      </c>
      <c r="O43" s="15">
        <v>511</v>
      </c>
      <c r="P43" s="15">
        <v>512</v>
      </c>
      <c r="Q43" s="15">
        <v>570</v>
      </c>
      <c r="R43" s="15">
        <v>577</v>
      </c>
      <c r="S43" s="15" t="s">
        <v>3</v>
      </c>
    </row>
    <row r="44" spans="1:19" hidden="1" x14ac:dyDescent="0.2">
      <c r="A44" s="99">
        <f>+'FERC Interest Rates'!A79</f>
        <v>43404</v>
      </c>
      <c r="B44" s="98">
        <v>-5.3220000000000003E-2</v>
      </c>
      <c r="C44" s="97">
        <f>+'Therm Sales'!I64</f>
        <v>11920068</v>
      </c>
      <c r="D44" s="42"/>
      <c r="E44" s="35">
        <f>ROUND(C44*B44,2)</f>
        <v>-634386.02</v>
      </c>
      <c r="F44" s="96">
        <f t="shared" si="3"/>
        <v>6176.35</v>
      </c>
      <c r="H44" s="95">
        <f t="shared" si="0"/>
        <v>837951.05999999808</v>
      </c>
      <c r="J44" s="92" t="s">
        <v>139</v>
      </c>
      <c r="K44" s="8">
        <v>0</v>
      </c>
      <c r="L44" s="8">
        <v>5727490</v>
      </c>
      <c r="M44" s="8">
        <f>4033428-2079</f>
        <v>4031349</v>
      </c>
      <c r="N44" s="8">
        <f>691298-21</f>
        <v>691277</v>
      </c>
      <c r="O44" s="8">
        <f>459820+107458</f>
        <v>567278</v>
      </c>
      <c r="P44" s="8">
        <v>0</v>
      </c>
      <c r="Q44" s="8">
        <f>197742-197742</f>
        <v>0</v>
      </c>
      <c r="R44" s="8">
        <v>0</v>
      </c>
      <c r="S44" s="8">
        <f>SUM(K44:R44)</f>
        <v>11017394</v>
      </c>
    </row>
    <row r="45" spans="1:19" hidden="1" x14ac:dyDescent="0.2">
      <c r="A45" s="528" t="s">
        <v>142</v>
      </c>
      <c r="B45" s="528"/>
      <c r="C45" s="528"/>
      <c r="D45" s="528"/>
      <c r="E45" s="528"/>
      <c r="F45" s="528"/>
      <c r="G45" s="1">
        <v>1258996.8999999999</v>
      </c>
      <c r="H45" s="95">
        <f t="shared" si="0"/>
        <v>2096947.9599999981</v>
      </c>
      <c r="J45" s="92" t="s">
        <v>140</v>
      </c>
      <c r="K45" s="8">
        <v>0</v>
      </c>
      <c r="L45" s="8">
        <v>3233440</v>
      </c>
      <c r="M45" s="8">
        <f>2122532+3464</f>
        <v>2125996</v>
      </c>
      <c r="N45" s="8">
        <f>298083+63</f>
        <v>298146</v>
      </c>
      <c r="O45" s="8">
        <f>331925+77569</f>
        <v>409494</v>
      </c>
      <c r="P45" s="8">
        <v>0</v>
      </c>
      <c r="Q45" s="8">
        <v>217688</v>
      </c>
      <c r="R45" s="8">
        <v>0</v>
      </c>
      <c r="S45" s="8">
        <f>SUM(K45:R45)</f>
        <v>6284764</v>
      </c>
    </row>
    <row r="46" spans="1:19" hidden="1" x14ac:dyDescent="0.2">
      <c r="A46" s="99">
        <f>+'FERC Interest Rates'!A80</f>
        <v>43434</v>
      </c>
      <c r="B46" s="96" t="s">
        <v>33</v>
      </c>
      <c r="C46" s="97">
        <f>+'Therm Sales'!I65</f>
        <v>17302158</v>
      </c>
      <c r="D46" s="42"/>
      <c r="E46" s="96">
        <f>SUM(ROUND(S44*-0.05322,2)+ROUND(+S45*-0.0074,2))</f>
        <v>-632852.96</v>
      </c>
      <c r="F46" s="96">
        <f>ROUND(H45*VLOOKUP(A46,FERCINT18,2)/365*VLOOKUP(A46,FERCINT18,3),2)</f>
        <v>8548.65</v>
      </c>
      <c r="H46" s="95">
        <f t="shared" si="0"/>
        <v>1472643.649999998</v>
      </c>
      <c r="J46" s="92" t="s">
        <v>3</v>
      </c>
      <c r="K46" s="66">
        <f t="shared" ref="K46:S46" si="4">SUM(K44:K45)</f>
        <v>0</v>
      </c>
      <c r="L46" s="66">
        <f t="shared" si="4"/>
        <v>8960930</v>
      </c>
      <c r="M46" s="66">
        <f t="shared" si="4"/>
        <v>6157345</v>
      </c>
      <c r="N46" s="66">
        <f t="shared" si="4"/>
        <v>989423</v>
      </c>
      <c r="O46" s="66">
        <f t="shared" si="4"/>
        <v>976772</v>
      </c>
      <c r="P46" s="66">
        <f t="shared" si="4"/>
        <v>0</v>
      </c>
      <c r="Q46" s="66">
        <f t="shared" si="4"/>
        <v>217688</v>
      </c>
      <c r="R46" s="66">
        <f t="shared" si="4"/>
        <v>0</v>
      </c>
      <c r="S46" s="66">
        <f t="shared" si="4"/>
        <v>17302158</v>
      </c>
    </row>
    <row r="47" spans="1:19" hidden="1" x14ac:dyDescent="0.2">
      <c r="A47" s="99">
        <f>+'FERC Interest Rates'!A81</f>
        <v>43465</v>
      </c>
      <c r="B47" s="98">
        <v>-7.4000000000000003E-3</v>
      </c>
      <c r="C47" s="97">
        <f>+'Therm Sales'!I66</f>
        <v>31921099</v>
      </c>
      <c r="D47" s="42"/>
      <c r="E47" s="35">
        <f>ROUND(C47*B47,2)</f>
        <v>-236216.13</v>
      </c>
      <c r="F47" s="96">
        <f>ROUND(H46*VLOOKUP(A47,FERCINT18,2)/365*VLOOKUP(A47,FERCINT18,3),2)</f>
        <v>6203.66</v>
      </c>
      <c r="H47" s="95">
        <f t="shared" si="0"/>
        <v>1242631.1799999981</v>
      </c>
    </row>
    <row r="48" spans="1:19" hidden="1" x14ac:dyDescent="0.2">
      <c r="A48" s="99">
        <f>+'FERC Interest Rates'!A82</f>
        <v>43496</v>
      </c>
      <c r="B48" s="98">
        <v>-7.4000000000000003E-3</v>
      </c>
      <c r="C48" s="97">
        <f>+'Therm Sales'!I67</f>
        <v>36049301</v>
      </c>
      <c r="D48" s="42"/>
      <c r="E48" s="56">
        <f>ROUND(C48*B48,2)+0.01</f>
        <v>-266764.82</v>
      </c>
      <c r="F48" s="96">
        <f t="shared" ref="F48:F57" si="5">ROUND(H47*VLOOKUP(A48,FERCINT19,2)/365*VLOOKUP(A48,FERCINT19,3),2)</f>
        <v>5466.9</v>
      </c>
      <c r="H48" s="95">
        <f t="shared" si="0"/>
        <v>981333.25999999803</v>
      </c>
    </row>
    <row r="49" spans="1:19" hidden="1" x14ac:dyDescent="0.2">
      <c r="A49" s="99">
        <f>+'FERC Interest Rates'!A83</f>
        <v>43524</v>
      </c>
      <c r="B49" s="98">
        <v>-7.4000000000000003E-3</v>
      </c>
      <c r="C49" s="97">
        <f>+'Therm Sales'!I68</f>
        <v>38560000</v>
      </c>
      <c r="D49" s="42"/>
      <c r="E49" s="35">
        <f t="shared" ref="E49:E56" si="6">ROUND(C49*B49,2)</f>
        <v>-285344</v>
      </c>
      <c r="F49" s="96">
        <f t="shared" si="5"/>
        <v>3899.52</v>
      </c>
      <c r="H49" s="95">
        <f t="shared" si="0"/>
        <v>699888.77999999805</v>
      </c>
    </row>
    <row r="50" spans="1:19" hidden="1" x14ac:dyDescent="0.2">
      <c r="A50" s="99">
        <f>+'FERC Interest Rates'!A84</f>
        <v>43555</v>
      </c>
      <c r="B50" s="98">
        <v>-7.4000000000000003E-3</v>
      </c>
      <c r="C50" s="97">
        <f>+'Therm Sales'!I69</f>
        <v>42389457</v>
      </c>
      <c r="D50" s="42"/>
      <c r="E50" s="35">
        <f t="shared" si="6"/>
        <v>-313681.98</v>
      </c>
      <c r="F50" s="96">
        <f t="shared" si="5"/>
        <v>3079.13</v>
      </c>
      <c r="H50" s="95">
        <f t="shared" si="0"/>
        <v>389285.92999999807</v>
      </c>
    </row>
    <row r="51" spans="1:19" hidden="1" x14ac:dyDescent="0.2">
      <c r="A51" s="99">
        <f>+'FERC Interest Rates'!A85</f>
        <v>43585</v>
      </c>
      <c r="B51" s="98">
        <v>-7.4000000000000003E-3</v>
      </c>
      <c r="C51" s="97">
        <f>+'Therm Sales'!I70</f>
        <v>24251956</v>
      </c>
      <c r="D51" s="42"/>
      <c r="E51" s="35">
        <f t="shared" si="6"/>
        <v>-179464.47</v>
      </c>
      <c r="F51" s="96">
        <f t="shared" si="5"/>
        <v>1743.79</v>
      </c>
      <c r="H51" s="95">
        <f t="shared" si="0"/>
        <v>211565.24999999808</v>
      </c>
    </row>
    <row r="52" spans="1:19" hidden="1" x14ac:dyDescent="0.2">
      <c r="A52" s="99">
        <f>+'FERC Interest Rates'!A86</f>
        <v>43616</v>
      </c>
      <c r="B52" s="98">
        <v>-7.4000000000000003E-3</v>
      </c>
      <c r="C52" s="97">
        <f>+'Therm Sales'!I71</f>
        <v>14672895</v>
      </c>
      <c r="D52" s="42"/>
      <c r="E52" s="56">
        <f>ROUND(C52*B52,2)+0.01</f>
        <v>-108579.41</v>
      </c>
      <c r="F52" s="96">
        <f t="shared" si="5"/>
        <v>979.29</v>
      </c>
      <c r="H52" s="95">
        <f t="shared" si="0"/>
        <v>103965.12999999807</v>
      </c>
    </row>
    <row r="53" spans="1:19" hidden="1" x14ac:dyDescent="0.2">
      <c r="A53" s="99">
        <f>+'FERC Interest Rates'!A87</f>
        <v>43646</v>
      </c>
      <c r="B53" s="98">
        <v>-7.4000000000000003E-3</v>
      </c>
      <c r="C53" s="97">
        <f>+'Therm Sales'!I72</f>
        <v>8957567</v>
      </c>
      <c r="D53" s="42"/>
      <c r="E53" s="35">
        <f t="shared" si="6"/>
        <v>-66286</v>
      </c>
      <c r="F53" s="96">
        <f t="shared" si="5"/>
        <v>465.71</v>
      </c>
      <c r="H53" s="95">
        <f t="shared" si="0"/>
        <v>38144.839999998076</v>
      </c>
    </row>
    <row r="54" spans="1:19" hidden="1" x14ac:dyDescent="0.2">
      <c r="A54" s="99">
        <f>+'FERC Interest Rates'!A88</f>
        <v>43677</v>
      </c>
      <c r="B54" s="98">
        <v>-7.4000000000000003E-3</v>
      </c>
      <c r="C54" s="97">
        <f>+'Therm Sales'!I73</f>
        <v>7650859</v>
      </c>
      <c r="D54" s="42"/>
      <c r="E54" s="56">
        <f>ROUND(C54*B54,2)-0.01</f>
        <v>-56616.37</v>
      </c>
      <c r="F54" s="96">
        <f t="shared" si="5"/>
        <v>178.18</v>
      </c>
      <c r="H54" s="95">
        <f t="shared" si="0"/>
        <v>-18293.350000001927</v>
      </c>
    </row>
    <row r="55" spans="1:19" hidden="1" x14ac:dyDescent="0.2">
      <c r="A55" s="99">
        <f>+'FERC Interest Rates'!A89</f>
        <v>43708</v>
      </c>
      <c r="B55" s="98">
        <v>-7.4000000000000003E-3</v>
      </c>
      <c r="C55" s="97">
        <f>+'Therm Sales'!I74</f>
        <v>6976774</v>
      </c>
      <c r="D55" s="42"/>
      <c r="E55" s="35">
        <f t="shared" si="6"/>
        <v>-51628.13</v>
      </c>
      <c r="F55" s="96">
        <f t="shared" si="5"/>
        <v>-85.45</v>
      </c>
      <c r="H55" s="95">
        <f t="shared" si="0"/>
        <v>-70006.930000001914</v>
      </c>
    </row>
    <row r="56" spans="1:19" hidden="1" x14ac:dyDescent="0.2">
      <c r="A56" s="99">
        <f>+'FERC Interest Rates'!A90</f>
        <v>43738</v>
      </c>
      <c r="B56" s="98">
        <v>-7.4000000000000003E-3</v>
      </c>
      <c r="C56" s="97">
        <f>+'Therm Sales'!I75</f>
        <v>6786442</v>
      </c>
      <c r="D56" s="42"/>
      <c r="E56" s="35">
        <f t="shared" si="6"/>
        <v>-50219.67</v>
      </c>
      <c r="F56" s="96">
        <f t="shared" si="5"/>
        <v>-316.47000000000003</v>
      </c>
      <c r="H56" s="95">
        <f t="shared" si="0"/>
        <v>-120543.07000000191</v>
      </c>
    </row>
    <row r="57" spans="1:19" hidden="1" x14ac:dyDescent="0.2">
      <c r="A57" s="99">
        <f>+'FERC Interest Rates'!A91</f>
        <v>43769</v>
      </c>
      <c r="B57" s="98">
        <v>-7.4000000000000003E-3</v>
      </c>
      <c r="C57" s="97">
        <f>+'Therm Sales'!I76</f>
        <v>15171360</v>
      </c>
      <c r="D57" s="42"/>
      <c r="E57" s="56">
        <f>ROUND(C57*B57,2)-0.01</f>
        <v>-112268.06999999999</v>
      </c>
      <c r="F57" s="96">
        <f t="shared" si="5"/>
        <v>-554.89</v>
      </c>
      <c r="H57" s="95">
        <f t="shared" si="0"/>
        <v>-233366.03000000189</v>
      </c>
    </row>
    <row r="58" spans="1:19" hidden="1" x14ac:dyDescent="0.2">
      <c r="A58" s="528" t="s">
        <v>154</v>
      </c>
      <c r="B58" s="528"/>
      <c r="C58" s="528"/>
      <c r="D58" s="528"/>
      <c r="E58" s="528"/>
      <c r="F58" s="528"/>
      <c r="G58" s="1">
        <v>233366.03</v>
      </c>
      <c r="H58" s="95">
        <f t="shared" si="0"/>
        <v>-1.8917489796876907E-9</v>
      </c>
    </row>
    <row r="59" spans="1:19" x14ac:dyDescent="0.2">
      <c r="A59" s="179"/>
      <c r="B59" s="179"/>
      <c r="C59" s="179"/>
      <c r="D59" s="179"/>
      <c r="E59" s="179"/>
      <c r="F59" s="179"/>
      <c r="H59" s="95"/>
      <c r="K59" s="15">
        <v>502</v>
      </c>
      <c r="L59" s="15">
        <v>503</v>
      </c>
      <c r="M59" s="15">
        <v>504</v>
      </c>
      <c r="N59" s="15">
        <v>505</v>
      </c>
      <c r="O59" s="15">
        <v>511</v>
      </c>
      <c r="P59" s="15">
        <v>512</v>
      </c>
      <c r="Q59" s="15">
        <v>570</v>
      </c>
      <c r="R59" s="15">
        <v>577</v>
      </c>
      <c r="S59" s="15" t="s">
        <v>3</v>
      </c>
    </row>
    <row r="60" spans="1:19" x14ac:dyDescent="0.2">
      <c r="A60" s="179"/>
      <c r="B60" s="179"/>
      <c r="C60" s="179"/>
      <c r="D60" s="179"/>
      <c r="E60" s="179"/>
      <c r="F60" s="179"/>
      <c r="H60" s="95"/>
      <c r="J60" s="153" t="s">
        <v>139</v>
      </c>
      <c r="K60" s="8">
        <v>0</v>
      </c>
      <c r="L60" s="8">
        <v>6875152</v>
      </c>
      <c r="M60" s="8">
        <f>3066+4648667-3066</f>
        <v>4648667</v>
      </c>
      <c r="N60" s="8">
        <v>687044</v>
      </c>
      <c r="O60" s="8">
        <f>554223+32136+274192-32136</f>
        <v>828415</v>
      </c>
      <c r="P60" s="8">
        <v>0</v>
      </c>
      <c r="Q60" s="8">
        <f>188282-188282</f>
        <v>0</v>
      </c>
      <c r="R60" s="8">
        <v>0</v>
      </c>
      <c r="S60" s="8">
        <f>SUM(K60:R60)</f>
        <v>13039278</v>
      </c>
    </row>
    <row r="61" spans="1:19" x14ac:dyDescent="0.2">
      <c r="A61" s="528" t="s">
        <v>187</v>
      </c>
      <c r="B61" s="528"/>
      <c r="C61" s="528"/>
      <c r="D61" s="528"/>
      <c r="E61" s="528"/>
      <c r="F61" s="528"/>
      <c r="G61" s="1">
        <v>32516337.780000001</v>
      </c>
      <c r="H61" s="95">
        <f>H58+SUM(D61:G61)</f>
        <v>32516337.779999997</v>
      </c>
      <c r="J61" s="153" t="s">
        <v>140</v>
      </c>
      <c r="K61" s="8">
        <v>0</v>
      </c>
      <c r="L61" s="8">
        <v>3055417</v>
      </c>
      <c r="M61" s="8">
        <f>1834948+5052</f>
        <v>1840000</v>
      </c>
      <c r="N61" s="8">
        <v>0</v>
      </c>
      <c r="O61" s="8">
        <f>233326+98046+241794+80816</f>
        <v>653982</v>
      </c>
      <c r="P61" s="8">
        <v>0</v>
      </c>
      <c r="Q61" s="8">
        <v>215369</v>
      </c>
      <c r="R61" s="8">
        <v>0</v>
      </c>
      <c r="S61" s="8">
        <f>SUM(K61:R61)</f>
        <v>5764768</v>
      </c>
    </row>
    <row r="62" spans="1:19" x14ac:dyDescent="0.2">
      <c r="A62" s="99">
        <f>'FERC Interest Rates'!A116</f>
        <v>44530</v>
      </c>
      <c r="B62" s="98" t="s">
        <v>33</v>
      </c>
      <c r="C62" s="97">
        <f>+'Therm Sales'!I101</f>
        <v>18804046</v>
      </c>
      <c r="D62" s="42"/>
      <c r="E62" s="181">
        <f>SUM(ROUND(S60*-0.07006,2)+ROUND(+S61*-0.12954,2))+0.02</f>
        <v>-1660299.85</v>
      </c>
      <c r="F62" s="96">
        <f>ROUND(H61*VLOOKUP(A62,FERCINT21,2)/365*VLOOKUP(A62,FERCINT21,3),2)</f>
        <v>86858.71</v>
      </c>
      <c r="H62" s="95">
        <f t="shared" si="0"/>
        <v>30942896.639999997</v>
      </c>
      <c r="J62" s="153" t="s">
        <v>3</v>
      </c>
      <c r="K62" s="66">
        <f t="shared" ref="K62:S62" si="7">SUM(K60:K61)</f>
        <v>0</v>
      </c>
      <c r="L62" s="66">
        <f t="shared" si="7"/>
        <v>9930569</v>
      </c>
      <c r="M62" s="66">
        <f t="shared" si="7"/>
        <v>6488667</v>
      </c>
      <c r="N62" s="66">
        <f t="shared" si="7"/>
        <v>687044</v>
      </c>
      <c r="O62" s="66">
        <f t="shared" si="7"/>
        <v>1482397</v>
      </c>
      <c r="P62" s="66">
        <f t="shared" si="7"/>
        <v>0</v>
      </c>
      <c r="Q62" s="66">
        <f t="shared" si="7"/>
        <v>215369</v>
      </c>
      <c r="R62" s="66">
        <f t="shared" si="7"/>
        <v>0</v>
      </c>
      <c r="S62" s="66">
        <f t="shared" si="7"/>
        <v>18804046</v>
      </c>
    </row>
    <row r="63" spans="1:19" x14ac:dyDescent="0.2">
      <c r="A63" s="99">
        <f>'FERC Interest Rates'!A117</f>
        <v>44561</v>
      </c>
      <c r="B63" s="98">
        <v>-0.12953999999999999</v>
      </c>
      <c r="C63" s="97">
        <f>+'Therm Sales'!I102</f>
        <v>30532105</v>
      </c>
      <c r="D63" s="42"/>
      <c r="E63" s="35">
        <f t="shared" ref="E63:E68" si="8">ROUND(C63*B63,2)</f>
        <v>-3955128.88</v>
      </c>
      <c r="F63" s="96">
        <f>ROUND(H62*VLOOKUP(A63,FERCINT21,2)/365*VLOOKUP(A63,FERCINT21,3),2)</f>
        <v>85410.87</v>
      </c>
      <c r="H63" s="95">
        <f t="shared" si="0"/>
        <v>27073178.629999995</v>
      </c>
    </row>
    <row r="64" spans="1:19" x14ac:dyDescent="0.2">
      <c r="A64" s="99">
        <f>'FERC Interest Rates'!A118</f>
        <v>44592</v>
      </c>
      <c r="B64" s="98">
        <v>-0.12953999999999999</v>
      </c>
      <c r="C64" s="97">
        <f>+'Therm Sales'!I103</f>
        <v>47579519</v>
      </c>
      <c r="D64" s="42"/>
      <c r="E64" s="56">
        <f>ROUND(C64*B64,2)-0.01</f>
        <v>-6163450.8999999994</v>
      </c>
      <c r="F64" s="96">
        <f t="shared" ref="F64:F69" si="9">ROUND(H63*VLOOKUP(A64,FERCINT22,2)/365*VLOOKUP(A64,FERCINT22,3),2)</f>
        <v>74729.39</v>
      </c>
      <c r="H64" s="95">
        <f t="shared" si="0"/>
        <v>20984457.119999997</v>
      </c>
      <c r="K64" s="552" t="s">
        <v>193</v>
      </c>
      <c r="L64" s="552"/>
      <c r="M64" s="552"/>
      <c r="N64" s="552"/>
      <c r="O64" s="552"/>
      <c r="P64" s="41"/>
      <c r="Q64" s="41"/>
      <c r="R64" s="41"/>
    </row>
    <row r="65" spans="1:15" x14ac:dyDescent="0.2">
      <c r="A65" s="99">
        <f>'FERC Interest Rates'!A119</f>
        <v>44620</v>
      </c>
      <c r="B65" s="98">
        <v>-0.12953999999999999</v>
      </c>
      <c r="C65" s="97">
        <f>+'Therm Sales'!I104</f>
        <v>36808310</v>
      </c>
      <c r="D65" s="42"/>
      <c r="E65" s="56">
        <f>ROUND(C65*B65,2)+0.02</f>
        <v>-4768148.4600000009</v>
      </c>
      <c r="F65" s="96">
        <f t="shared" si="9"/>
        <v>52317.41</v>
      </c>
      <c r="H65" s="95">
        <f t="shared" si="0"/>
        <v>16268626.069999997</v>
      </c>
      <c r="K65" s="552"/>
      <c r="L65" s="552"/>
      <c r="M65" s="552"/>
      <c r="N65" s="552"/>
      <c r="O65" s="552"/>
    </row>
    <row r="66" spans="1:15" x14ac:dyDescent="0.2">
      <c r="A66" s="99">
        <f>'FERC Interest Rates'!A120</f>
        <v>44651</v>
      </c>
      <c r="B66" s="98">
        <v>-0.12953999999999999</v>
      </c>
      <c r="C66" s="97">
        <f>+'Therm Sales'!I105</f>
        <v>35883551</v>
      </c>
      <c r="D66" s="42"/>
      <c r="E66" s="56">
        <f>ROUND(C66*B66,2)+0.01</f>
        <v>-4648355.1900000004</v>
      </c>
      <c r="F66" s="96">
        <f t="shared" si="9"/>
        <v>44905.87</v>
      </c>
      <c r="H66" s="95">
        <f t="shared" si="0"/>
        <v>11665176.749999996</v>
      </c>
      <c r="K66" s="552"/>
      <c r="L66" s="552"/>
      <c r="M66" s="552"/>
      <c r="N66" s="552"/>
      <c r="O66" s="552"/>
    </row>
    <row r="67" spans="1:15" x14ac:dyDescent="0.2">
      <c r="A67" s="99">
        <f>'FERC Interest Rates'!A121</f>
        <v>44681</v>
      </c>
      <c r="B67" s="98">
        <v>-0.12953999999999999</v>
      </c>
      <c r="C67" s="97">
        <f>+'Therm Sales'!I106</f>
        <v>23698655</v>
      </c>
      <c r="D67" s="42"/>
      <c r="E67" s="35">
        <f t="shared" si="8"/>
        <v>-3069923.77</v>
      </c>
      <c r="F67" s="96">
        <f t="shared" si="9"/>
        <v>31160.400000000001</v>
      </c>
      <c r="H67" s="95">
        <f t="shared" si="0"/>
        <v>8626413.3799999952</v>
      </c>
    </row>
    <row r="68" spans="1:15" x14ac:dyDescent="0.2">
      <c r="A68" s="99">
        <f>'FERC Interest Rates'!A122</f>
        <v>44712</v>
      </c>
      <c r="B68" s="98">
        <v>-0.12953999999999999</v>
      </c>
      <c r="C68" s="97">
        <f>+'Therm Sales'!I107</f>
        <v>20452192</v>
      </c>
      <c r="D68" s="42"/>
      <c r="E68" s="35">
        <f t="shared" si="8"/>
        <v>-2649376.9500000002</v>
      </c>
      <c r="F68" s="96">
        <f t="shared" si="9"/>
        <v>23811.26</v>
      </c>
      <c r="H68" s="95">
        <f t="shared" si="0"/>
        <v>6000847.6899999948</v>
      </c>
    </row>
    <row r="69" spans="1:15" x14ac:dyDescent="0.2">
      <c r="A69" s="99">
        <f>'FERC Interest Rates'!A123</f>
        <v>44742</v>
      </c>
      <c r="B69" s="98">
        <v>-0.12953999999999999</v>
      </c>
      <c r="C69" s="97">
        <f>+'Therm Sales'!I108</f>
        <v>13138561</v>
      </c>
      <c r="D69" s="42"/>
      <c r="E69" s="56">
        <f>ROUND(C69*B69,2)-0.01</f>
        <v>-1701969.2</v>
      </c>
      <c r="F69" s="96">
        <f t="shared" si="9"/>
        <v>16029.66</v>
      </c>
      <c r="H69" s="95">
        <f t="shared" si="0"/>
        <v>4314908.1499999948</v>
      </c>
    </row>
  </sheetData>
  <mergeCells count="26">
    <mergeCell ref="A7:B7"/>
    <mergeCell ref="C7:H7"/>
    <mergeCell ref="A17:F17"/>
    <mergeCell ref="A32:F32"/>
    <mergeCell ref="A45:F45"/>
    <mergeCell ref="D9:F9"/>
    <mergeCell ref="A12:F12"/>
    <mergeCell ref="A13:F13"/>
    <mergeCell ref="A15:F15"/>
    <mergeCell ref="A16:F16"/>
    <mergeCell ref="K64:O66"/>
    <mergeCell ref="A61:F61"/>
    <mergeCell ref="A58:F58"/>
    <mergeCell ref="A1:B1"/>
    <mergeCell ref="C1:H1"/>
    <mergeCell ref="A2:B2"/>
    <mergeCell ref="C2:H2"/>
    <mergeCell ref="A3:B3"/>
    <mergeCell ref="C3:H3"/>
    <mergeCell ref="A14:F14"/>
    <mergeCell ref="A4:B4"/>
    <mergeCell ref="C4:H4"/>
    <mergeCell ref="A5:B5"/>
    <mergeCell ref="C5:H5"/>
    <mergeCell ref="A6:B6"/>
    <mergeCell ref="C6:H6"/>
  </mergeCells>
  <printOptions horizontalCentered="1"/>
  <pageMargins left="0.5" right="0.25" top="0.5" bottom="0.25" header="0.3" footer="0.3"/>
  <pageSetup scale="89" fitToHeight="0" orientation="portrait" r:id="rId1"/>
  <headerFooter>
    <oddFooter>&amp;L&amp;"-,Bold"&amp;10Cascade Natural Gas Corporation&amp;C&amp;"-,Bold"&amp;10&amp;P of &amp;N&amp;R&amp;"-,Bold"&amp;10Washington Deferral Accounts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F3871-EE2E-4547-A455-8121FC553D57}">
  <dimension ref="B1:G27"/>
  <sheetViews>
    <sheetView showGridLines="0" tabSelected="1" view="pageBreakPreview" zoomScale="75" zoomScaleNormal="130" zoomScaleSheetLayoutView="75" workbookViewId="0">
      <selection activeCell="L22" sqref="L22"/>
    </sheetView>
  </sheetViews>
  <sheetFormatPr defaultRowHeight="12.75" x14ac:dyDescent="0.2"/>
  <cols>
    <col min="1" max="1" width="1.33203125" style="462" customWidth="1"/>
    <col min="2" max="2" width="7.77734375" style="462" customWidth="1"/>
    <col min="3" max="3" width="20.5546875" style="462" customWidth="1"/>
    <col min="4" max="4" width="22.5546875" style="462" bestFit="1" customWidth="1"/>
    <col min="5" max="5" width="17" style="462" bestFit="1" customWidth="1"/>
    <col min="6" max="6" width="15.44140625" style="462" bestFit="1" customWidth="1"/>
    <col min="7" max="7" width="16.5546875" style="462" bestFit="1" customWidth="1"/>
    <col min="8" max="16384" width="8.88671875" style="462"/>
  </cols>
  <sheetData>
    <row r="1" spans="2:7" ht="18" customHeight="1" x14ac:dyDescent="0.2">
      <c r="B1" s="460" t="s">
        <v>199</v>
      </c>
      <c r="C1" s="460"/>
      <c r="D1" s="460"/>
      <c r="E1" s="460"/>
      <c r="F1" s="460"/>
      <c r="G1" s="461"/>
    </row>
    <row r="2" spans="2:7" ht="15" x14ac:dyDescent="0.2">
      <c r="B2" s="460" t="s">
        <v>200</v>
      </c>
      <c r="C2" s="463">
        <f>'Core Cost Incurred'!B2</f>
        <v>44737</v>
      </c>
      <c r="D2" s="464"/>
      <c r="E2" s="464"/>
      <c r="F2" s="464"/>
      <c r="G2" s="464"/>
    </row>
    <row r="4" spans="2:7" ht="15" customHeight="1" thickBot="1" x14ac:dyDescent="0.25">
      <c r="B4" s="560"/>
      <c r="C4" s="560"/>
      <c r="D4" s="560"/>
      <c r="E4" s="560"/>
      <c r="F4" s="465"/>
      <c r="G4" s="466"/>
    </row>
    <row r="5" spans="2:7" ht="14.25" x14ac:dyDescent="0.2">
      <c r="B5" s="467"/>
      <c r="C5" s="467"/>
      <c r="D5" s="468" t="s">
        <v>201</v>
      </c>
      <c r="E5" s="468" t="s">
        <v>202</v>
      </c>
      <c r="F5" s="520" t="s">
        <v>24</v>
      </c>
      <c r="G5" s="468" t="s">
        <v>3</v>
      </c>
    </row>
    <row r="6" spans="2:7" ht="15" x14ac:dyDescent="0.25">
      <c r="B6" s="469" t="s">
        <v>203</v>
      </c>
      <c r="C6" s="470"/>
      <c r="D6" s="471">
        <v>692010</v>
      </c>
      <c r="E6" s="471">
        <v>691010</v>
      </c>
      <c r="F6" s="472">
        <v>693010</v>
      </c>
      <c r="G6" s="635"/>
    </row>
    <row r="7" spans="2:7" ht="15.75" customHeight="1" x14ac:dyDescent="0.2">
      <c r="B7" s="477" t="s">
        <v>204</v>
      </c>
      <c r="C7" s="477"/>
      <c r="D7" s="474">
        <f>+'WA Rates'!K41</f>
        <v>2661948.4500000002</v>
      </c>
      <c r="E7" s="474">
        <f>+'WA Rates'!L41</f>
        <v>1477745.7200000002</v>
      </c>
      <c r="F7" s="475">
        <f>+'WA Rates'!M41</f>
        <v>1701969.2</v>
      </c>
      <c r="G7" s="518">
        <f>+D7+E7+F7</f>
        <v>5841663.3700000001</v>
      </c>
    </row>
    <row r="8" spans="2:7" ht="15.75" customHeight="1" x14ac:dyDescent="0.2">
      <c r="B8" s="477" t="s">
        <v>206</v>
      </c>
      <c r="C8" s="477"/>
      <c r="D8" s="478">
        <f>'Core Cost Incurred'!K43</f>
        <v>5760885.5800000019</v>
      </c>
      <c r="E8" s="478">
        <f>'Core Cost Incurred'!K44</f>
        <v>4037677.1199999992</v>
      </c>
      <c r="F8" s="479">
        <v>0</v>
      </c>
      <c r="G8" s="519">
        <f>+D8+E8+F8</f>
        <v>9798562.7000000011</v>
      </c>
    </row>
    <row r="9" spans="2:7" ht="15.75" customHeight="1" thickBot="1" x14ac:dyDescent="0.25">
      <c r="B9" s="477" t="s">
        <v>207</v>
      </c>
      <c r="C9" s="477"/>
      <c r="D9" s="480">
        <f>D7-D8</f>
        <v>-3098937.1300000018</v>
      </c>
      <c r="E9" s="481">
        <f>E7-E8</f>
        <v>-2559931.399999999</v>
      </c>
      <c r="F9" s="521">
        <f t="shared" ref="F9" si="0">F7-F8</f>
        <v>1701969.2</v>
      </c>
      <c r="G9" s="480">
        <f>G7-G8</f>
        <v>-3956899.330000001</v>
      </c>
    </row>
    <row r="10" spans="2:7" ht="15.75" customHeight="1" thickBot="1" x14ac:dyDescent="0.25">
      <c r="B10" s="477" t="s">
        <v>208</v>
      </c>
      <c r="C10" s="477"/>
      <c r="D10" s="482">
        <v>104.57</v>
      </c>
      <c r="E10" s="483" t="s">
        <v>209</v>
      </c>
      <c r="F10" s="522" t="s">
        <v>210</v>
      </c>
      <c r="G10" s="484"/>
    </row>
    <row r="11" spans="2:7" ht="15.75" customHeight="1" x14ac:dyDescent="0.2">
      <c r="B11" s="469" t="s">
        <v>211</v>
      </c>
      <c r="C11" s="469"/>
      <c r="D11" s="480"/>
      <c r="E11" s="480">
        <v>336374.2</v>
      </c>
      <c r="F11" s="485"/>
      <c r="G11" s="476">
        <f>E11</f>
        <v>336374.2</v>
      </c>
    </row>
    <row r="12" spans="2:7" ht="15.75" customHeight="1" x14ac:dyDescent="0.25">
      <c r="B12" s="486" t="s">
        <v>212</v>
      </c>
      <c r="C12" s="487"/>
      <c r="D12" s="488">
        <f>+D7-D8+D10</f>
        <v>-3098832.5600000019</v>
      </c>
      <c r="E12" s="488">
        <f>+E9+E11</f>
        <v>-2223557.1999999988</v>
      </c>
      <c r="F12" s="489">
        <f>+F7-F8</f>
        <v>1701969.2</v>
      </c>
      <c r="G12" s="488">
        <f>G9+G11</f>
        <v>-3620525.1300000008</v>
      </c>
    </row>
    <row r="13" spans="2:7" ht="14.25" customHeight="1" x14ac:dyDescent="0.2">
      <c r="D13" s="477"/>
      <c r="E13" s="477"/>
      <c r="F13" s="490"/>
      <c r="G13" s="477"/>
    </row>
    <row r="14" spans="2:7" ht="14.25" customHeight="1" x14ac:dyDescent="0.2">
      <c r="D14" s="477" t="s">
        <v>213</v>
      </c>
      <c r="E14" s="477"/>
      <c r="F14" s="490"/>
      <c r="G14" s="477"/>
    </row>
    <row r="15" spans="2:7" ht="14.25" customHeight="1" x14ac:dyDescent="0.2">
      <c r="D15" s="477"/>
      <c r="E15" s="491"/>
      <c r="F15" s="490"/>
      <c r="G15" s="477"/>
    </row>
    <row r="16" spans="2:7" ht="14.25" customHeight="1" x14ac:dyDescent="0.2">
      <c r="B16" s="335" t="s">
        <v>214</v>
      </c>
      <c r="C16" s="335"/>
      <c r="D16" s="474" t="s">
        <v>26</v>
      </c>
      <c r="E16" s="492" t="s">
        <v>26</v>
      </c>
      <c r="F16" s="493"/>
      <c r="G16" s="494"/>
    </row>
    <row r="17" spans="2:7" ht="14.25" customHeight="1" x14ac:dyDescent="0.2">
      <c r="B17" s="473"/>
      <c r="C17" s="473"/>
      <c r="D17" s="495"/>
      <c r="E17" s="495"/>
      <c r="F17" s="496"/>
      <c r="G17" s="477"/>
    </row>
    <row r="18" spans="2:7" ht="14.25" customHeight="1" x14ac:dyDescent="0.2">
      <c r="B18" s="473"/>
      <c r="C18" s="473"/>
      <c r="D18" s="476">
        <f>-D12</f>
        <v>3098832.5600000019</v>
      </c>
      <c r="E18" s="476">
        <f>-E9-E11</f>
        <v>2223557.1999999988</v>
      </c>
      <c r="F18" s="497">
        <f>-F12</f>
        <v>-1701969.2</v>
      </c>
      <c r="G18" s="476">
        <f>SUM(D18:F18)</f>
        <v>3620420.5600000005</v>
      </c>
    </row>
    <row r="19" spans="2:7" ht="14.25" customHeight="1" thickBot="1" x14ac:dyDescent="0.25">
      <c r="B19" s="335" t="s">
        <v>215</v>
      </c>
      <c r="C19" s="335"/>
      <c r="D19" s="498" t="s">
        <v>190</v>
      </c>
      <c r="E19" s="499" t="s">
        <v>191</v>
      </c>
      <c r="F19" s="504" t="s">
        <v>192</v>
      </c>
      <c r="G19" s="494"/>
    </row>
    <row r="20" spans="2:7" x14ac:dyDescent="0.2">
      <c r="B20" s="473"/>
      <c r="C20" s="473"/>
      <c r="E20" s="473"/>
      <c r="F20" s="473"/>
      <c r="G20" s="473"/>
    </row>
    <row r="21" spans="2:7" x14ac:dyDescent="0.2">
      <c r="D21" s="473"/>
      <c r="E21" s="500"/>
      <c r="F21" s="501"/>
    </row>
    <row r="22" spans="2:7" x14ac:dyDescent="0.2">
      <c r="D22" s="502"/>
      <c r="E22" s="502"/>
      <c r="F22" s="501"/>
    </row>
    <row r="23" spans="2:7" x14ac:dyDescent="0.2">
      <c r="C23" s="503"/>
      <c r="D23" s="502"/>
      <c r="E23" s="502"/>
      <c r="F23" s="501"/>
    </row>
    <row r="24" spans="2:7" x14ac:dyDescent="0.2">
      <c r="C24" s="503"/>
      <c r="D24" s="502"/>
      <c r="F24" s="501"/>
    </row>
    <row r="25" spans="2:7" x14ac:dyDescent="0.2">
      <c r="D25" s="502"/>
    </row>
    <row r="27" spans="2:7" x14ac:dyDescent="0.2">
      <c r="B27" s="459"/>
      <c r="C27" s="459"/>
    </row>
  </sheetData>
  <mergeCells count="1">
    <mergeCell ref="B4:E4"/>
  </mergeCells>
  <printOptions horizontalCentered="1"/>
  <pageMargins left="0.5" right="0.25" top="0.5" bottom="0.25" header="0.3" footer="0.3"/>
  <pageSetup scale="82" orientation="portrait" r:id="rId1"/>
  <headerFooter>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83"/>
  <sheetViews>
    <sheetView showGridLines="0" view="pageBreakPreview" zoomScale="75" zoomScaleNormal="60" zoomScaleSheetLayoutView="75" workbookViewId="0">
      <pane ySplit="10" topLeftCell="A11" activePane="bottomLeft" state="frozen"/>
      <selection activeCell="H129" sqref="H129"/>
      <selection pane="bottomLeft" activeCell="H83" sqref="H83"/>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16384" width="8.88671875" style="1"/>
  </cols>
  <sheetData>
    <row r="1" spans="1:8" x14ac:dyDescent="0.2">
      <c r="A1" s="548" t="s">
        <v>13</v>
      </c>
      <c r="B1" s="549"/>
      <c r="C1" s="546" t="s">
        <v>14</v>
      </c>
      <c r="D1" s="546"/>
      <c r="E1" s="546"/>
      <c r="F1" s="546"/>
      <c r="G1" s="546"/>
      <c r="H1" s="547"/>
    </row>
    <row r="2" spans="1:8" x14ac:dyDescent="0.2">
      <c r="A2" s="541" t="s">
        <v>16</v>
      </c>
      <c r="B2" s="533"/>
      <c r="C2" s="534" t="s">
        <v>97</v>
      </c>
      <c r="D2" s="534"/>
      <c r="E2" s="534"/>
      <c r="F2" s="534"/>
      <c r="G2" s="534"/>
      <c r="H2" s="538"/>
    </row>
    <row r="3" spans="1:8" x14ac:dyDescent="0.2">
      <c r="A3" s="541" t="s">
        <v>17</v>
      </c>
      <c r="B3" s="533"/>
      <c r="C3" s="534" t="s">
        <v>100</v>
      </c>
      <c r="D3" s="534"/>
      <c r="E3" s="534"/>
      <c r="F3" s="534"/>
      <c r="G3" s="534"/>
      <c r="H3" s="538"/>
    </row>
    <row r="4" spans="1:8" x14ac:dyDescent="0.2">
      <c r="A4" s="541" t="s">
        <v>18</v>
      </c>
      <c r="B4" s="533"/>
      <c r="C4" s="550" t="s">
        <v>44</v>
      </c>
      <c r="D4" s="550"/>
      <c r="E4" s="550"/>
      <c r="F4" s="550"/>
      <c r="G4" s="550"/>
      <c r="H4" s="551"/>
    </row>
    <row r="5" spans="1:8" x14ac:dyDescent="0.2">
      <c r="A5" s="541" t="s">
        <v>20</v>
      </c>
      <c r="B5" s="533"/>
      <c r="C5" s="561" t="s">
        <v>99</v>
      </c>
      <c r="D5" s="534"/>
      <c r="E5" s="534"/>
      <c r="F5" s="534"/>
      <c r="G5" s="534"/>
      <c r="H5" s="538"/>
    </row>
    <row r="6" spans="1:8" x14ac:dyDescent="0.2">
      <c r="A6" s="541" t="s">
        <v>21</v>
      </c>
      <c r="B6" s="533"/>
      <c r="C6" s="534" t="s">
        <v>30</v>
      </c>
      <c r="D6" s="534"/>
      <c r="E6" s="534"/>
      <c r="F6" s="534"/>
      <c r="G6" s="534"/>
      <c r="H6" s="538"/>
    </row>
    <row r="7" spans="1:8" ht="27.75" customHeight="1" thickBot="1" x14ac:dyDescent="0.25">
      <c r="A7" s="542" t="s">
        <v>22</v>
      </c>
      <c r="B7" s="543"/>
      <c r="C7" s="544" t="s">
        <v>98</v>
      </c>
      <c r="D7" s="544"/>
      <c r="E7" s="544"/>
      <c r="F7" s="544"/>
      <c r="G7" s="544"/>
      <c r="H7" s="545"/>
    </row>
    <row r="8" spans="1:8" x14ac:dyDescent="0.2">
      <c r="A8" s="2"/>
      <c r="B8" s="2"/>
      <c r="C8" s="3"/>
      <c r="D8" s="3"/>
      <c r="E8" s="3"/>
      <c r="F8" s="3"/>
      <c r="G8" s="3"/>
      <c r="H8" s="3"/>
    </row>
    <row r="9" spans="1:8" x14ac:dyDescent="0.2">
      <c r="A9" s="4"/>
      <c r="D9" s="529" t="s">
        <v>38</v>
      </c>
      <c r="E9" s="529"/>
      <c r="F9" s="529"/>
    </row>
    <row r="10" spans="1:8" s="5" customFormat="1" ht="22.5" customHeight="1" x14ac:dyDescent="0.2">
      <c r="A10" s="5" t="s">
        <v>39</v>
      </c>
      <c r="B10" s="5" t="s">
        <v>4</v>
      </c>
      <c r="C10" s="5" t="s">
        <v>12</v>
      </c>
      <c r="D10" s="5" t="s">
        <v>23</v>
      </c>
      <c r="E10" s="5" t="s">
        <v>24</v>
      </c>
      <c r="F10" s="5" t="s">
        <v>2</v>
      </c>
      <c r="G10" s="5" t="s">
        <v>0</v>
      </c>
      <c r="H10" s="5" t="s">
        <v>1</v>
      </c>
    </row>
    <row r="11" spans="1:8" hidden="1" x14ac:dyDescent="0.2">
      <c r="A11" s="527" t="s">
        <v>96</v>
      </c>
      <c r="B11" s="527"/>
      <c r="C11" s="527"/>
      <c r="D11" s="527"/>
      <c r="E11" s="527"/>
      <c r="F11" s="527"/>
      <c r="G11" s="527"/>
      <c r="H11" s="1">
        <v>0</v>
      </c>
    </row>
    <row r="12" spans="1:8" hidden="1" x14ac:dyDescent="0.2">
      <c r="A12" s="6">
        <f>'FERC Interest Rates'!A56</f>
        <v>42704</v>
      </c>
      <c r="D12" s="1">
        <f>325429.79+1504154.47</f>
        <v>1829584.26</v>
      </c>
      <c r="F12" s="42"/>
      <c r="H12" s="1">
        <f t="shared" ref="H12:H36" si="0">H11+SUM(D12:G12)</f>
        <v>1829584.26</v>
      </c>
    </row>
    <row r="13" spans="1:8" hidden="1" x14ac:dyDescent="0.2">
      <c r="A13" s="6">
        <f>'FERC Interest Rates'!A57</f>
        <v>42735</v>
      </c>
      <c r="D13" s="1">
        <v>390272.83</v>
      </c>
      <c r="F13" s="42"/>
      <c r="H13" s="1">
        <f t="shared" si="0"/>
        <v>2219857.09</v>
      </c>
    </row>
    <row r="14" spans="1:8" hidden="1" x14ac:dyDescent="0.2">
      <c r="A14" s="6">
        <f>'FERC Interest Rates'!A58</f>
        <v>42766</v>
      </c>
      <c r="D14" s="1">
        <f>272326.45+192536</f>
        <v>464862.45</v>
      </c>
      <c r="F14" s="42"/>
      <c r="H14" s="1">
        <f t="shared" si="0"/>
        <v>2684719.54</v>
      </c>
    </row>
    <row r="15" spans="1:8" hidden="1" x14ac:dyDescent="0.2">
      <c r="A15" s="6">
        <f>'FERC Interest Rates'!A59</f>
        <v>42794</v>
      </c>
      <c r="D15" s="1">
        <v>109382</v>
      </c>
      <c r="F15" s="42"/>
      <c r="H15" s="1">
        <f t="shared" si="0"/>
        <v>2794101.54</v>
      </c>
    </row>
    <row r="16" spans="1:8" hidden="1" x14ac:dyDescent="0.2">
      <c r="A16" s="6">
        <f>'FERC Interest Rates'!A60</f>
        <v>42825</v>
      </c>
      <c r="D16" s="1">
        <v>168936.75</v>
      </c>
      <c r="F16" s="42"/>
      <c r="H16" s="1">
        <f t="shared" si="0"/>
        <v>2963038.29</v>
      </c>
    </row>
    <row r="17" spans="1:8" hidden="1" x14ac:dyDescent="0.2">
      <c r="A17" s="6">
        <f>'FERC Interest Rates'!A61</f>
        <v>42855</v>
      </c>
      <c r="D17" s="1">
        <v>190068.32</v>
      </c>
      <c r="F17" s="42"/>
      <c r="H17" s="1">
        <f t="shared" si="0"/>
        <v>3153106.61</v>
      </c>
    </row>
    <row r="18" spans="1:8" hidden="1" x14ac:dyDescent="0.2">
      <c r="A18" s="6">
        <f>'FERC Interest Rates'!A62</f>
        <v>42886</v>
      </c>
      <c r="D18" s="1">
        <v>73109.5</v>
      </c>
      <c r="F18" s="42"/>
      <c r="H18" s="1">
        <f t="shared" si="0"/>
        <v>3226216.11</v>
      </c>
    </row>
    <row r="19" spans="1:8" hidden="1" x14ac:dyDescent="0.2">
      <c r="A19" s="6">
        <f>'FERC Interest Rates'!A63</f>
        <v>42916</v>
      </c>
      <c r="D19" s="1">
        <f>518868.82+62942-28803</f>
        <v>553007.82000000007</v>
      </c>
      <c r="F19" s="42"/>
      <c r="H19" s="1">
        <f t="shared" si="0"/>
        <v>3779223.9299999997</v>
      </c>
    </row>
    <row r="20" spans="1:8" hidden="1" x14ac:dyDescent="0.2">
      <c r="A20" s="6">
        <f>'FERC Interest Rates'!A64</f>
        <v>42947</v>
      </c>
      <c r="D20" s="1">
        <v>77847.12</v>
      </c>
      <c r="F20" s="42"/>
      <c r="H20" s="1">
        <f t="shared" si="0"/>
        <v>3857071.05</v>
      </c>
    </row>
    <row r="21" spans="1:8" hidden="1" x14ac:dyDescent="0.2">
      <c r="A21" s="6">
        <f>'FERC Interest Rates'!A65</f>
        <v>42978</v>
      </c>
      <c r="D21" s="1">
        <f>158071.04+280033.17</f>
        <v>438104.20999999996</v>
      </c>
      <c r="F21" s="42"/>
      <c r="H21" s="1">
        <f t="shared" si="0"/>
        <v>4295175.26</v>
      </c>
    </row>
    <row r="22" spans="1:8" hidden="1" x14ac:dyDescent="0.2">
      <c r="A22" s="6">
        <f>'FERC Interest Rates'!A66</f>
        <v>43008</v>
      </c>
      <c r="D22" s="1">
        <v>619247.39</v>
      </c>
      <c r="F22" s="42"/>
      <c r="H22" s="1">
        <f t="shared" si="0"/>
        <v>4914422.6499999994</v>
      </c>
    </row>
    <row r="23" spans="1:8" hidden="1" x14ac:dyDescent="0.2">
      <c r="A23" s="6">
        <f>'FERC Interest Rates'!A67</f>
        <v>43039</v>
      </c>
      <c r="D23" s="1">
        <v>530347.31999999995</v>
      </c>
      <c r="F23" s="42"/>
      <c r="H23" s="1">
        <f t="shared" si="0"/>
        <v>5444769.9699999997</v>
      </c>
    </row>
    <row r="24" spans="1:8" hidden="1" x14ac:dyDescent="0.2">
      <c r="A24" s="6">
        <f>'FERC Interest Rates'!A68</f>
        <v>43069</v>
      </c>
      <c r="D24" s="1">
        <v>436250.57</v>
      </c>
      <c r="F24" s="42"/>
      <c r="H24" s="1">
        <f t="shared" si="0"/>
        <v>5881020.54</v>
      </c>
    </row>
    <row r="25" spans="1:8" hidden="1" x14ac:dyDescent="0.2">
      <c r="A25" s="6">
        <f>'FERC Interest Rates'!A69</f>
        <v>43100</v>
      </c>
      <c r="D25" s="1">
        <v>157673.95000000001</v>
      </c>
      <c r="F25" s="42"/>
      <c r="H25" s="1">
        <f t="shared" si="0"/>
        <v>6038694.4900000002</v>
      </c>
    </row>
    <row r="26" spans="1:8" hidden="1" x14ac:dyDescent="0.2">
      <c r="A26" s="6">
        <f>'FERC Interest Rates'!A70</f>
        <v>43131</v>
      </c>
      <c r="D26" s="1">
        <v>26261.16</v>
      </c>
      <c r="F26" s="42"/>
      <c r="H26" s="1">
        <f t="shared" si="0"/>
        <v>6064955.6500000004</v>
      </c>
    </row>
    <row r="27" spans="1:8" hidden="1" x14ac:dyDescent="0.2">
      <c r="A27" s="6">
        <f>'FERC Interest Rates'!A71</f>
        <v>43159</v>
      </c>
      <c r="D27" s="1">
        <v>17396.48</v>
      </c>
      <c r="F27" s="42"/>
      <c r="H27" s="1">
        <f t="shared" si="0"/>
        <v>6082352.1300000008</v>
      </c>
    </row>
    <row r="28" spans="1:8" hidden="1" x14ac:dyDescent="0.2">
      <c r="A28" s="6">
        <f>'FERC Interest Rates'!A72</f>
        <v>43190</v>
      </c>
      <c r="D28" s="1">
        <v>338011.56</v>
      </c>
      <c r="F28" s="42"/>
      <c r="H28" s="1">
        <f t="shared" si="0"/>
        <v>6420363.6900000004</v>
      </c>
    </row>
    <row r="29" spans="1:8" hidden="1" x14ac:dyDescent="0.2">
      <c r="A29" s="6">
        <f>'FERC Interest Rates'!A73</f>
        <v>43220</v>
      </c>
      <c r="D29" s="1">
        <v>151734.49</v>
      </c>
      <c r="F29" s="42"/>
      <c r="H29" s="1">
        <f t="shared" si="0"/>
        <v>6572098.1800000006</v>
      </c>
    </row>
    <row r="30" spans="1:8" hidden="1" x14ac:dyDescent="0.2">
      <c r="A30" s="6">
        <f>'FERC Interest Rates'!A74</f>
        <v>43251</v>
      </c>
      <c r="D30" s="1">
        <f>86916.82-1007417.53</f>
        <v>-920500.71</v>
      </c>
      <c r="F30" s="42"/>
      <c r="H30" s="1">
        <f t="shared" si="0"/>
        <v>5651597.4700000007</v>
      </c>
    </row>
    <row r="31" spans="1:8" hidden="1" x14ac:dyDescent="0.2">
      <c r="A31" s="6">
        <f>'FERC Interest Rates'!A75</f>
        <v>43281</v>
      </c>
      <c r="D31" s="1">
        <v>139629.48000000001</v>
      </c>
      <c r="F31" s="42"/>
      <c r="H31" s="1">
        <f t="shared" si="0"/>
        <v>5791226.9500000011</v>
      </c>
    </row>
    <row r="32" spans="1:8" hidden="1" x14ac:dyDescent="0.2">
      <c r="A32" s="6">
        <f>'FERC Interest Rates'!A76</f>
        <v>43312</v>
      </c>
      <c r="D32" s="1">
        <v>84422.19</v>
      </c>
      <c r="F32" s="42"/>
      <c r="H32" s="1">
        <f t="shared" si="0"/>
        <v>5875649.1400000015</v>
      </c>
    </row>
    <row r="33" spans="1:8" hidden="1" x14ac:dyDescent="0.2">
      <c r="A33" s="6"/>
      <c r="F33" s="10" t="s">
        <v>127</v>
      </c>
      <c r="G33" s="1">
        <v>-5423017.3499999996</v>
      </c>
      <c r="H33" s="1">
        <f>+H32+G33</f>
        <v>452631.7900000019</v>
      </c>
    </row>
    <row r="34" spans="1:8" hidden="1" x14ac:dyDescent="0.2">
      <c r="A34" s="6">
        <f>'FERC Interest Rates'!A77</f>
        <v>43343</v>
      </c>
      <c r="D34" s="1">
        <v>452125.91</v>
      </c>
      <c r="F34" s="42"/>
      <c r="H34" s="1">
        <f>H33+SUM(D34:G34)</f>
        <v>904757.70000000182</v>
      </c>
    </row>
    <row r="35" spans="1:8" hidden="1" x14ac:dyDescent="0.2">
      <c r="A35" s="6">
        <f>'FERC Interest Rates'!A78</f>
        <v>43373</v>
      </c>
      <c r="D35" s="1">
        <v>974073.17</v>
      </c>
      <c r="F35" s="42"/>
      <c r="H35" s="1">
        <f t="shared" si="0"/>
        <v>1878830.870000002</v>
      </c>
    </row>
    <row r="36" spans="1:8" hidden="1" x14ac:dyDescent="0.2">
      <c r="A36" s="6">
        <f>'FERC Interest Rates'!A79</f>
        <v>43404</v>
      </c>
      <c r="D36" s="1">
        <v>557816.93999999994</v>
      </c>
      <c r="F36" s="42"/>
      <c r="H36" s="1">
        <f t="shared" si="0"/>
        <v>2436647.8100000019</v>
      </c>
    </row>
    <row r="37" spans="1:8" hidden="1" x14ac:dyDescent="0.2">
      <c r="A37" s="6">
        <f>'FERC Interest Rates'!A80</f>
        <v>43434</v>
      </c>
      <c r="D37" s="1">
        <v>116255.54</v>
      </c>
      <c r="F37" s="42"/>
      <c r="H37" s="1">
        <f t="shared" ref="H37:H48" si="1">H36+SUM(D37:G37)</f>
        <v>2552903.350000002</v>
      </c>
    </row>
    <row r="38" spans="1:8" hidden="1" x14ac:dyDescent="0.2">
      <c r="A38" s="6">
        <f>'FERC Interest Rates'!A81</f>
        <v>43465</v>
      </c>
      <c r="D38" s="1">
        <v>2879176.41</v>
      </c>
      <c r="F38" s="42"/>
      <c r="H38" s="1">
        <f t="shared" si="1"/>
        <v>5432079.7600000016</v>
      </c>
    </row>
    <row r="39" spans="1:8" hidden="1" x14ac:dyDescent="0.2">
      <c r="A39" s="6">
        <f>'FERC Interest Rates'!A82</f>
        <v>43496</v>
      </c>
      <c r="D39" s="1">
        <v>0</v>
      </c>
      <c r="F39" s="42"/>
      <c r="H39" s="1">
        <f t="shared" si="1"/>
        <v>5432079.7600000016</v>
      </c>
    </row>
    <row r="40" spans="1:8" hidden="1" x14ac:dyDescent="0.2">
      <c r="A40" s="6">
        <f>'FERC Interest Rates'!A83</f>
        <v>43524</v>
      </c>
      <c r="D40" s="1">
        <v>1277.6600000000001</v>
      </c>
      <c r="F40" s="42"/>
      <c r="H40" s="1">
        <f t="shared" si="1"/>
        <v>5433357.4200000018</v>
      </c>
    </row>
    <row r="41" spans="1:8" hidden="1" x14ac:dyDescent="0.2">
      <c r="A41" s="6">
        <f>'FERC Interest Rates'!A84</f>
        <v>43555</v>
      </c>
      <c r="D41" s="1">
        <v>34609.919999999998</v>
      </c>
      <c r="E41" s="42"/>
      <c r="F41" s="42"/>
      <c r="H41" s="1">
        <f t="shared" si="1"/>
        <v>5467967.3400000017</v>
      </c>
    </row>
    <row r="42" spans="1:8" hidden="1" x14ac:dyDescent="0.2">
      <c r="A42" s="6">
        <f>'FERC Interest Rates'!A85</f>
        <v>43585</v>
      </c>
      <c r="D42" s="1">
        <v>70274.070000000007</v>
      </c>
      <c r="E42" s="42"/>
      <c r="F42" s="42"/>
      <c r="H42" s="1">
        <f t="shared" si="1"/>
        <v>5538241.410000002</v>
      </c>
    </row>
    <row r="43" spans="1:8" hidden="1" x14ac:dyDescent="0.2">
      <c r="A43" s="6">
        <f>'FERC Interest Rates'!A86</f>
        <v>43616</v>
      </c>
      <c r="D43" s="1">
        <v>5021.25</v>
      </c>
      <c r="E43" s="42"/>
      <c r="F43" s="42"/>
      <c r="H43" s="1">
        <f t="shared" si="1"/>
        <v>5543262.660000002</v>
      </c>
    </row>
    <row r="44" spans="1:8" hidden="1" x14ac:dyDescent="0.2">
      <c r="A44" s="6">
        <f>'FERC Interest Rates'!A87</f>
        <v>43646</v>
      </c>
      <c r="D44" s="1">
        <v>438.17</v>
      </c>
      <c r="E44" s="42"/>
      <c r="F44" s="42"/>
      <c r="H44" s="1">
        <f t="shared" si="1"/>
        <v>5543700.8300000019</v>
      </c>
    </row>
    <row r="45" spans="1:8" hidden="1" x14ac:dyDescent="0.2">
      <c r="A45" s="6">
        <f>'FERC Interest Rates'!A88</f>
        <v>43677</v>
      </c>
      <c r="B45" s="162"/>
      <c r="C45" s="162"/>
      <c r="D45" s="1">
        <f>1750+759581.44</f>
        <v>761331.44</v>
      </c>
      <c r="E45" s="162"/>
      <c r="F45" s="162"/>
      <c r="H45" s="1">
        <f t="shared" si="1"/>
        <v>6305032.2700000014</v>
      </c>
    </row>
    <row r="46" spans="1:8" hidden="1" x14ac:dyDescent="0.2">
      <c r="A46" s="6">
        <f>'FERC Interest Rates'!A89</f>
        <v>43708</v>
      </c>
      <c r="B46" s="162"/>
      <c r="C46" s="162"/>
      <c r="D46" s="1">
        <f>81479.52+99893.83</f>
        <v>181373.35</v>
      </c>
      <c r="E46" s="162"/>
      <c r="F46" s="162"/>
      <c r="H46" s="1">
        <f t="shared" si="1"/>
        <v>6486405.620000001</v>
      </c>
    </row>
    <row r="47" spans="1:8" hidden="1" x14ac:dyDescent="0.2">
      <c r="A47" s="6">
        <f>'FERC Interest Rates'!A90</f>
        <v>43738</v>
      </c>
      <c r="B47" s="162"/>
      <c r="C47" s="162"/>
      <c r="D47" s="1">
        <v>443745.21</v>
      </c>
      <c r="E47" s="162"/>
      <c r="F47" s="162"/>
      <c r="H47" s="1">
        <f t="shared" si="1"/>
        <v>6930150.830000001</v>
      </c>
    </row>
    <row r="48" spans="1:8" hidden="1" x14ac:dyDescent="0.2">
      <c r="A48" s="6">
        <f>'FERC Interest Rates'!A91</f>
        <v>43769</v>
      </c>
      <c r="B48" s="162"/>
      <c r="C48" s="162"/>
      <c r="D48" s="1">
        <v>535214.29</v>
      </c>
      <c r="E48" s="162"/>
      <c r="F48" s="162"/>
      <c r="H48" s="1">
        <f t="shared" si="1"/>
        <v>7465365.120000001</v>
      </c>
    </row>
    <row r="49" spans="1:8" hidden="1" x14ac:dyDescent="0.2">
      <c r="A49" s="6">
        <f>'FERC Interest Rates'!A92</f>
        <v>43799</v>
      </c>
      <c r="B49" s="162"/>
      <c r="C49" s="162"/>
      <c r="D49" s="1">
        <v>278722.92</v>
      </c>
      <c r="E49" s="162"/>
      <c r="F49" s="162"/>
      <c r="H49" s="1">
        <f t="shared" ref="H49:H61" si="2">H48+SUM(D49:G49)</f>
        <v>7744088.040000001</v>
      </c>
    </row>
    <row r="50" spans="1:8" hidden="1" x14ac:dyDescent="0.2">
      <c r="A50" s="6">
        <f>'FERC Interest Rates'!A93</f>
        <v>43830</v>
      </c>
      <c r="B50" s="162"/>
      <c r="C50" s="162"/>
      <c r="D50" s="1">
        <f>273905.9-2587.56</f>
        <v>271318.34000000003</v>
      </c>
      <c r="E50" s="162"/>
      <c r="F50" s="162"/>
      <c r="H50" s="1">
        <f t="shared" si="2"/>
        <v>8015406.3800000008</v>
      </c>
    </row>
    <row r="51" spans="1:8" hidden="1" x14ac:dyDescent="0.2">
      <c r="A51" s="6">
        <f>'FERC Interest Rates'!A94</f>
        <v>43861</v>
      </c>
      <c r="B51" s="162"/>
      <c r="C51" s="162"/>
      <c r="D51" s="1">
        <v>11155.91</v>
      </c>
      <c r="E51" s="162"/>
      <c r="F51" s="162"/>
      <c r="H51" s="1">
        <f t="shared" si="2"/>
        <v>8026562.290000001</v>
      </c>
    </row>
    <row r="52" spans="1:8" hidden="1" x14ac:dyDescent="0.2">
      <c r="A52" s="6">
        <f>'FERC Interest Rates'!A95</f>
        <v>43890</v>
      </c>
      <c r="B52" s="162"/>
      <c r="C52" s="162"/>
      <c r="D52" s="1">
        <v>1144</v>
      </c>
      <c r="E52" s="162"/>
      <c r="F52" s="162"/>
      <c r="H52" s="1">
        <f>H51+SUM(D52:G52)</f>
        <v>8027706.290000001</v>
      </c>
    </row>
    <row r="53" spans="1:8" ht="15.75" customHeight="1" x14ac:dyDescent="0.2">
      <c r="A53" s="528" t="s">
        <v>158</v>
      </c>
      <c r="B53" s="528"/>
      <c r="C53" s="528"/>
      <c r="D53" s="528"/>
      <c r="E53" s="528"/>
      <c r="F53" s="528"/>
      <c r="G53" s="1">
        <v>-6290724.1500000004</v>
      </c>
      <c r="H53" s="1">
        <f>+H52+G53</f>
        <v>1736982.1400000006</v>
      </c>
    </row>
    <row r="54" spans="1:8" x14ac:dyDescent="0.2">
      <c r="A54" s="6">
        <f>'FERC Interest Rates'!A96</f>
        <v>43921</v>
      </c>
      <c r="B54" s="162"/>
      <c r="C54" s="162"/>
      <c r="D54" s="1">
        <v>86418.52</v>
      </c>
      <c r="E54" s="162"/>
      <c r="F54" s="162"/>
      <c r="H54" s="1">
        <f>H53+SUM(D54:G54)</f>
        <v>1823400.6600000006</v>
      </c>
    </row>
    <row r="55" spans="1:8" x14ac:dyDescent="0.2">
      <c r="A55" s="6">
        <f>'FERC Interest Rates'!A97</f>
        <v>43951</v>
      </c>
      <c r="B55" s="162"/>
      <c r="C55" s="162"/>
      <c r="D55" s="1">
        <v>2081.69</v>
      </c>
      <c r="E55" s="162"/>
      <c r="F55" s="162"/>
      <c r="H55" s="1">
        <f t="shared" si="2"/>
        <v>1825482.3500000006</v>
      </c>
    </row>
    <row r="56" spans="1:8" x14ac:dyDescent="0.2">
      <c r="A56" s="6">
        <f>'FERC Interest Rates'!A98</f>
        <v>43982</v>
      </c>
      <c r="B56" s="162"/>
      <c r="C56" s="162"/>
      <c r="D56" s="1">
        <v>346776.05</v>
      </c>
      <c r="E56" s="162"/>
      <c r="F56" s="162"/>
      <c r="H56" s="1">
        <f t="shared" si="2"/>
        <v>2172258.4000000004</v>
      </c>
    </row>
    <row r="57" spans="1:8" x14ac:dyDescent="0.2">
      <c r="A57" s="6">
        <f>'FERC Interest Rates'!A99</f>
        <v>44012</v>
      </c>
      <c r="B57" s="162"/>
      <c r="C57" s="162"/>
      <c r="D57" s="1">
        <v>1219982.8700000001</v>
      </c>
      <c r="E57" s="162"/>
      <c r="F57" s="162"/>
      <c r="H57" s="1">
        <f t="shared" si="2"/>
        <v>3392241.2700000005</v>
      </c>
    </row>
    <row r="58" spans="1:8" x14ac:dyDescent="0.2">
      <c r="A58" s="6">
        <f>'FERC Interest Rates'!A100</f>
        <v>44043</v>
      </c>
      <c r="B58" s="162"/>
      <c r="C58" s="162"/>
      <c r="D58" s="1">
        <v>315175.03000000003</v>
      </c>
      <c r="E58" s="162"/>
      <c r="F58" s="162"/>
      <c r="H58" s="1">
        <f t="shared" si="2"/>
        <v>3707416.3000000007</v>
      </c>
    </row>
    <row r="59" spans="1:8" x14ac:dyDescent="0.2">
      <c r="A59" s="6">
        <f>'FERC Interest Rates'!A101</f>
        <v>44074</v>
      </c>
      <c r="B59" s="162"/>
      <c r="C59" s="162"/>
      <c r="D59" s="1">
        <v>675353.08</v>
      </c>
      <c r="E59" s="162"/>
      <c r="F59" s="162"/>
      <c r="H59" s="1">
        <f t="shared" si="2"/>
        <v>4382769.3800000008</v>
      </c>
    </row>
    <row r="60" spans="1:8" x14ac:dyDescent="0.2">
      <c r="A60" s="6">
        <f>'FERC Interest Rates'!A102</f>
        <v>44104</v>
      </c>
      <c r="B60" s="162"/>
      <c r="C60" s="162"/>
      <c r="D60" s="1">
        <v>471124.24</v>
      </c>
      <c r="E60" s="162"/>
      <c r="F60" s="162"/>
      <c r="H60" s="1">
        <f t="shared" si="2"/>
        <v>4853893.620000001</v>
      </c>
    </row>
    <row r="61" spans="1:8" x14ac:dyDescent="0.2">
      <c r="A61" s="6">
        <f>'FERC Interest Rates'!A103</f>
        <v>44135</v>
      </c>
      <c r="B61" s="162"/>
      <c r="C61" s="162"/>
      <c r="D61" s="1">
        <v>820906.74</v>
      </c>
      <c r="E61" s="162"/>
      <c r="F61" s="162"/>
      <c r="H61" s="1">
        <f t="shared" si="2"/>
        <v>5674800.3600000013</v>
      </c>
    </row>
    <row r="62" spans="1:8" x14ac:dyDescent="0.2">
      <c r="A62" s="6">
        <f>'FERC Interest Rates'!A104</f>
        <v>44165</v>
      </c>
      <c r="B62" s="162"/>
      <c r="C62" s="162"/>
      <c r="D62" s="1">
        <v>507068.32</v>
      </c>
      <c r="E62" s="162"/>
      <c r="F62" s="162"/>
      <c r="H62" s="1">
        <f t="shared" ref="H62:H75" si="3">H61+SUM(D62:G62)</f>
        <v>6181868.6800000016</v>
      </c>
    </row>
    <row r="63" spans="1:8" x14ac:dyDescent="0.2">
      <c r="A63" s="528" t="s">
        <v>161</v>
      </c>
      <c r="B63" s="528"/>
      <c r="C63" s="528"/>
      <c r="D63" s="528"/>
      <c r="E63" s="528"/>
      <c r="F63" s="528"/>
      <c r="G63" s="1">
        <v>858644.39</v>
      </c>
      <c r="H63" s="1">
        <f t="shared" si="3"/>
        <v>7040513.0700000012</v>
      </c>
    </row>
    <row r="64" spans="1:8" x14ac:dyDescent="0.2">
      <c r="A64" s="6">
        <f>'FERC Interest Rates'!A105</f>
        <v>44196</v>
      </c>
      <c r="B64" s="162"/>
      <c r="C64" s="162"/>
      <c r="D64" s="1">
        <v>267614.2</v>
      </c>
      <c r="E64" s="162"/>
      <c r="F64" s="162"/>
      <c r="H64" s="1">
        <f t="shared" si="3"/>
        <v>7308127.2700000014</v>
      </c>
    </row>
    <row r="65" spans="1:8" x14ac:dyDescent="0.2">
      <c r="A65" s="6">
        <f>'FERC Interest Rates'!A106</f>
        <v>44227</v>
      </c>
      <c r="B65" s="162"/>
      <c r="C65" s="162"/>
      <c r="D65" s="1">
        <v>-190515.89</v>
      </c>
      <c r="E65" s="162"/>
      <c r="F65" s="162"/>
      <c r="H65" s="1">
        <f t="shared" si="3"/>
        <v>7117611.3800000018</v>
      </c>
    </row>
    <row r="66" spans="1:8" x14ac:dyDescent="0.2">
      <c r="A66" s="6">
        <f>'FERC Interest Rates'!A107</f>
        <v>44255</v>
      </c>
      <c r="B66" s="162"/>
      <c r="C66" s="162"/>
      <c r="D66" s="1">
        <v>1631.92</v>
      </c>
      <c r="E66" s="162"/>
      <c r="F66" s="162"/>
      <c r="H66" s="1">
        <f t="shared" si="3"/>
        <v>7119243.3000000017</v>
      </c>
    </row>
    <row r="67" spans="1:8" x14ac:dyDescent="0.2">
      <c r="A67" s="6">
        <f>'FERC Interest Rates'!A108</f>
        <v>44286</v>
      </c>
      <c r="B67" s="162"/>
      <c r="C67" s="162"/>
      <c r="D67" s="1">
        <v>13329.89</v>
      </c>
      <c r="E67" s="162"/>
      <c r="F67" s="162"/>
      <c r="H67" s="1">
        <f t="shared" si="3"/>
        <v>7132573.1900000013</v>
      </c>
    </row>
    <row r="68" spans="1:8" x14ac:dyDescent="0.2">
      <c r="A68" s="6">
        <f>'FERC Interest Rates'!A109</f>
        <v>44316</v>
      </c>
      <c r="B68" s="162"/>
      <c r="C68" s="162"/>
      <c r="D68" s="1">
        <v>4127.04</v>
      </c>
      <c r="E68" s="162"/>
      <c r="F68" s="162"/>
      <c r="H68" s="1">
        <f t="shared" si="3"/>
        <v>7136700.2300000014</v>
      </c>
    </row>
    <row r="69" spans="1:8" x14ac:dyDescent="0.2">
      <c r="A69" s="6">
        <f>'FERC Interest Rates'!A110</f>
        <v>44347</v>
      </c>
      <c r="B69" s="162"/>
      <c r="C69" s="162"/>
      <c r="D69" s="1">
        <v>155194.99</v>
      </c>
      <c r="E69" s="162"/>
      <c r="F69" s="162"/>
      <c r="H69" s="1">
        <f t="shared" si="3"/>
        <v>7291895.2200000016</v>
      </c>
    </row>
    <row r="70" spans="1:8" x14ac:dyDescent="0.2">
      <c r="A70" s="6">
        <f>'FERC Interest Rates'!A111</f>
        <v>44377</v>
      </c>
      <c r="B70" s="162"/>
      <c r="C70" s="162"/>
      <c r="D70" s="1">
        <v>527061.65</v>
      </c>
      <c r="E70" s="162"/>
      <c r="F70" s="162"/>
      <c r="H70" s="1">
        <f t="shared" si="3"/>
        <v>7818956.870000002</v>
      </c>
    </row>
    <row r="71" spans="1:8" x14ac:dyDescent="0.2">
      <c r="A71" s="528" t="s">
        <v>172</v>
      </c>
      <c r="B71" s="528"/>
      <c r="C71" s="528"/>
      <c r="D71" s="528"/>
      <c r="E71" s="528"/>
      <c r="F71" s="528"/>
      <c r="G71" s="146">
        <v>-2571965</v>
      </c>
      <c r="H71" s="1">
        <f t="shared" si="3"/>
        <v>5246991.870000002</v>
      </c>
    </row>
    <row r="72" spans="1:8" x14ac:dyDescent="0.2">
      <c r="A72" s="6">
        <f>'FERC Interest Rates'!A112</f>
        <v>44408</v>
      </c>
      <c r="B72" s="162"/>
      <c r="C72" s="162"/>
      <c r="D72" s="1">
        <v>529681.18999999994</v>
      </c>
      <c r="E72" s="162"/>
      <c r="F72" s="162"/>
      <c r="H72" s="1">
        <f t="shared" si="3"/>
        <v>5776673.0600000024</v>
      </c>
    </row>
    <row r="73" spans="1:8" x14ac:dyDescent="0.2">
      <c r="A73" s="6">
        <f>'FERC Interest Rates'!A113</f>
        <v>44439</v>
      </c>
      <c r="B73" s="162"/>
      <c r="C73" s="162"/>
      <c r="D73" s="1">
        <v>460457.4</v>
      </c>
      <c r="E73" s="162"/>
      <c r="F73" s="162"/>
      <c r="H73" s="1">
        <f t="shared" si="3"/>
        <v>6237130.4600000028</v>
      </c>
    </row>
    <row r="74" spans="1:8" x14ac:dyDescent="0.2">
      <c r="A74" s="6">
        <f>'FERC Interest Rates'!A114</f>
        <v>44469</v>
      </c>
      <c r="B74" s="162"/>
      <c r="C74" s="162"/>
      <c r="D74" s="1">
        <v>454052.97</v>
      </c>
      <c r="E74" s="162"/>
      <c r="F74" s="162"/>
      <c r="H74" s="1">
        <f t="shared" si="3"/>
        <v>6691183.4300000025</v>
      </c>
    </row>
    <row r="75" spans="1:8" x14ac:dyDescent="0.2">
      <c r="A75" s="6">
        <f>'FERC Interest Rates'!A115</f>
        <v>44500</v>
      </c>
      <c r="B75" s="162"/>
      <c r="C75" s="162"/>
      <c r="D75" s="1">
        <v>378607.47</v>
      </c>
      <c r="E75" s="162"/>
      <c r="F75" s="162"/>
      <c r="H75" s="1">
        <f t="shared" si="3"/>
        <v>7069790.9000000022</v>
      </c>
    </row>
    <row r="76" spans="1:8" x14ac:dyDescent="0.2">
      <c r="A76" s="6">
        <f>'FERC Interest Rates'!A116</f>
        <v>44530</v>
      </c>
      <c r="B76" s="162"/>
      <c r="C76" s="162"/>
      <c r="D76" s="1">
        <v>509537.25</v>
      </c>
      <c r="E76" s="162"/>
      <c r="F76" s="162"/>
      <c r="H76" s="1">
        <f t="shared" ref="H76:H83" si="4">H75+SUM(D76:G76)</f>
        <v>7579328.1500000022</v>
      </c>
    </row>
    <row r="77" spans="1:8" x14ac:dyDescent="0.2">
      <c r="A77" s="6">
        <f>'FERC Interest Rates'!A117</f>
        <v>44561</v>
      </c>
      <c r="B77" s="162"/>
      <c r="C77" s="162"/>
      <c r="D77" s="1">
        <v>307761.8</v>
      </c>
      <c r="E77" s="162"/>
      <c r="F77" s="162"/>
      <c r="H77" s="1">
        <f t="shared" si="4"/>
        <v>7887089.950000002</v>
      </c>
    </row>
    <row r="78" spans="1:8" x14ac:dyDescent="0.2">
      <c r="A78" s="6">
        <f>'FERC Interest Rates'!A118</f>
        <v>44592</v>
      </c>
      <c r="B78" s="162"/>
      <c r="C78" s="162"/>
      <c r="D78" s="1">
        <v>61170.11</v>
      </c>
      <c r="E78" s="162"/>
      <c r="F78" s="162"/>
      <c r="H78" s="1">
        <f t="shared" si="4"/>
        <v>7948260.0600000024</v>
      </c>
    </row>
    <row r="79" spans="1:8" x14ac:dyDescent="0.2">
      <c r="A79" s="6">
        <f>'FERC Interest Rates'!A119</f>
        <v>44620</v>
      </c>
      <c r="B79" s="162"/>
      <c r="C79" s="162"/>
      <c r="D79" s="1">
        <v>0</v>
      </c>
      <c r="E79" s="162"/>
      <c r="F79" s="162"/>
      <c r="H79" s="1">
        <f t="shared" si="4"/>
        <v>7948260.0600000024</v>
      </c>
    </row>
    <row r="80" spans="1:8" x14ac:dyDescent="0.2">
      <c r="A80" s="6">
        <f>'FERC Interest Rates'!A120</f>
        <v>44651</v>
      </c>
      <c r="B80" s="162"/>
      <c r="C80" s="162"/>
      <c r="D80" s="1">
        <v>0</v>
      </c>
      <c r="E80" s="162"/>
      <c r="F80" s="162"/>
      <c r="H80" s="1">
        <f t="shared" si="4"/>
        <v>7948260.0600000024</v>
      </c>
    </row>
    <row r="81" spans="1:8" x14ac:dyDescent="0.2">
      <c r="A81" s="6">
        <f>'FERC Interest Rates'!A121</f>
        <v>44681</v>
      </c>
      <c r="B81" s="162"/>
      <c r="C81" s="162"/>
      <c r="D81" s="1">
        <v>75</v>
      </c>
      <c r="E81" s="162"/>
      <c r="F81" s="162"/>
      <c r="H81" s="1">
        <f t="shared" si="4"/>
        <v>7948335.0600000024</v>
      </c>
    </row>
    <row r="82" spans="1:8" x14ac:dyDescent="0.2">
      <c r="A82" s="6">
        <f>'FERC Interest Rates'!A122</f>
        <v>44712</v>
      </c>
      <c r="B82" s="162"/>
      <c r="C82" s="162"/>
      <c r="D82" s="1">
        <v>25.5</v>
      </c>
      <c r="E82" s="162"/>
      <c r="F82" s="162"/>
      <c r="H82" s="1">
        <f t="shared" si="4"/>
        <v>7948360.5600000024</v>
      </c>
    </row>
    <row r="83" spans="1:8" x14ac:dyDescent="0.2">
      <c r="A83" s="6">
        <f>'FERC Interest Rates'!A123</f>
        <v>44742</v>
      </c>
      <c r="B83" s="162"/>
      <c r="C83" s="162"/>
      <c r="D83" s="1">
        <v>34091.75</v>
      </c>
      <c r="E83" s="162"/>
      <c r="F83" s="162"/>
      <c r="H83" s="1">
        <f t="shared" si="4"/>
        <v>7982452.3100000024</v>
      </c>
    </row>
  </sheetData>
  <mergeCells count="19">
    <mergeCell ref="C7:H7"/>
    <mergeCell ref="D9:F9"/>
    <mergeCell ref="A11:G11"/>
    <mergeCell ref="A71:F71"/>
    <mergeCell ref="A4:B4"/>
    <mergeCell ref="C4:H4"/>
    <mergeCell ref="A5:B5"/>
    <mergeCell ref="C5:H5"/>
    <mergeCell ref="A6:B6"/>
    <mergeCell ref="C6:H6"/>
    <mergeCell ref="A53:F53"/>
    <mergeCell ref="A63:F63"/>
    <mergeCell ref="A7:B7"/>
    <mergeCell ref="A1:B1"/>
    <mergeCell ref="C1:H1"/>
    <mergeCell ref="A2:B2"/>
    <mergeCell ref="C2:H2"/>
    <mergeCell ref="A3:B3"/>
    <mergeCell ref="C3:H3"/>
  </mergeCells>
  <printOptions horizontalCentered="1"/>
  <pageMargins left="0.5" right="0.25" top="0.5" bottom="0.25" header="0.3" footer="0.3"/>
  <pageSetup scale="89" orientation="portrait" r:id="rId1"/>
  <headerFooter>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3"/>
  <sheetViews>
    <sheetView view="pageBreakPreview" zoomScale="75" zoomScaleNormal="75" zoomScaleSheetLayoutView="75" workbookViewId="0">
      <pane xSplit="1" ySplit="10" topLeftCell="B11" activePane="bottomRight" state="frozen"/>
      <selection activeCell="H129" sqref="H129"/>
      <selection pane="topRight" activeCell="H129" sqref="H129"/>
      <selection pane="bottomLeft" activeCell="H129" sqref="H129"/>
      <selection pane="bottomRight" activeCell="H123" sqref="H123"/>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16384" width="8.88671875" style="1"/>
  </cols>
  <sheetData>
    <row r="1" spans="1:8" x14ac:dyDescent="0.2">
      <c r="A1" s="548" t="s">
        <v>13</v>
      </c>
      <c r="B1" s="549"/>
      <c r="C1" s="562" t="s">
        <v>14</v>
      </c>
      <c r="D1" s="562"/>
      <c r="E1" s="562"/>
      <c r="F1" s="562"/>
      <c r="G1" s="562"/>
      <c r="H1" s="563"/>
    </row>
    <row r="2" spans="1:8" x14ac:dyDescent="0.2">
      <c r="A2" s="541" t="s">
        <v>16</v>
      </c>
      <c r="B2" s="533"/>
      <c r="C2" s="534" t="s">
        <v>48</v>
      </c>
      <c r="D2" s="534"/>
      <c r="E2" s="534"/>
      <c r="F2" s="534"/>
      <c r="G2" s="534"/>
      <c r="H2" s="538"/>
    </row>
    <row r="3" spans="1:8" x14ac:dyDescent="0.2">
      <c r="A3" s="541" t="s">
        <v>17</v>
      </c>
      <c r="B3" s="533"/>
      <c r="C3" s="534" t="s">
        <v>123</v>
      </c>
      <c r="D3" s="534"/>
      <c r="E3" s="534"/>
      <c r="F3" s="534"/>
      <c r="G3" s="534"/>
      <c r="H3" s="538"/>
    </row>
    <row r="4" spans="1:8" x14ac:dyDescent="0.2">
      <c r="A4" s="541" t="s">
        <v>18</v>
      </c>
      <c r="B4" s="533"/>
      <c r="C4" s="534" t="s">
        <v>19</v>
      </c>
      <c r="D4" s="534"/>
      <c r="E4" s="534"/>
      <c r="F4" s="534"/>
      <c r="G4" s="534"/>
      <c r="H4" s="538"/>
    </row>
    <row r="5" spans="1:8" x14ac:dyDescent="0.2">
      <c r="A5" s="541" t="s">
        <v>20</v>
      </c>
      <c r="B5" s="533"/>
      <c r="C5" s="534" t="s">
        <v>180</v>
      </c>
      <c r="D5" s="534"/>
      <c r="E5" s="534"/>
      <c r="F5" s="534"/>
      <c r="G5" s="534"/>
      <c r="H5" s="538"/>
    </row>
    <row r="6" spans="1:8" x14ac:dyDescent="0.2">
      <c r="A6" s="541" t="s">
        <v>21</v>
      </c>
      <c r="B6" s="533"/>
      <c r="C6" s="534" t="s">
        <v>68</v>
      </c>
      <c r="D6" s="534"/>
      <c r="E6" s="534"/>
      <c r="F6" s="534"/>
      <c r="G6" s="534"/>
      <c r="H6" s="538"/>
    </row>
    <row r="7" spans="1:8" ht="13.5" thickBot="1" x14ac:dyDescent="0.25">
      <c r="A7" s="542" t="s">
        <v>22</v>
      </c>
      <c r="B7" s="543"/>
      <c r="C7" s="544" t="s">
        <v>47</v>
      </c>
      <c r="D7" s="544"/>
      <c r="E7" s="544"/>
      <c r="F7" s="544"/>
      <c r="G7" s="544"/>
      <c r="H7" s="545"/>
    </row>
    <row r="8" spans="1:8" x14ac:dyDescent="0.2">
      <c r="A8" s="2"/>
      <c r="B8" s="2"/>
      <c r="C8" s="3"/>
      <c r="D8" s="3"/>
      <c r="E8" s="3"/>
      <c r="F8" s="3"/>
      <c r="G8" s="3"/>
      <c r="H8" s="3"/>
    </row>
    <row r="9" spans="1:8" ht="12" customHeight="1" x14ac:dyDescent="0.2">
      <c r="A9" s="4"/>
      <c r="D9" s="529" t="s">
        <v>38</v>
      </c>
      <c r="E9" s="529"/>
      <c r="F9" s="529"/>
    </row>
    <row r="10" spans="1:8" s="5" customFormat="1" ht="30" customHeight="1" x14ac:dyDescent="0.2">
      <c r="A10" s="5" t="s">
        <v>39</v>
      </c>
      <c r="B10" s="5" t="s">
        <v>4</v>
      </c>
      <c r="C10" s="5" t="s">
        <v>12</v>
      </c>
      <c r="D10" s="5" t="s">
        <v>23</v>
      </c>
      <c r="E10" s="5" t="s">
        <v>24</v>
      </c>
      <c r="F10" s="5" t="s">
        <v>2</v>
      </c>
      <c r="G10" s="5" t="s">
        <v>0</v>
      </c>
      <c r="H10" s="5" t="s">
        <v>1</v>
      </c>
    </row>
    <row r="11" spans="1:8" hidden="1" x14ac:dyDescent="0.2">
      <c r="A11" s="527" t="s">
        <v>80</v>
      </c>
      <c r="B11" s="527"/>
      <c r="C11" s="527"/>
      <c r="D11" s="527"/>
      <c r="E11" s="527"/>
      <c r="F11" s="527"/>
      <c r="G11" s="527"/>
      <c r="H11" s="1">
        <v>158578.29</v>
      </c>
    </row>
    <row r="12" spans="1:8" hidden="1" x14ac:dyDescent="0.2">
      <c r="A12" s="6">
        <f>'FERC Interest Rates'!A20</f>
        <v>41608</v>
      </c>
      <c r="D12" s="1">
        <v>24828.55</v>
      </c>
      <c r="F12" s="1">
        <f t="shared" ref="F12:F13" si="0">ROUND(H11*VLOOKUP(A12,FERCINT13,2)/365*VLOOKUP(A12,FERCINT13,3),2)</f>
        <v>423.6</v>
      </c>
      <c r="H12" s="1">
        <f t="shared" ref="H12:H36" si="1">+SUM(D12:G12)+H11</f>
        <v>183830.44</v>
      </c>
    </row>
    <row r="13" spans="1:8" hidden="1" x14ac:dyDescent="0.2">
      <c r="A13" s="6">
        <f>'FERC Interest Rates'!A21</f>
        <v>41639</v>
      </c>
      <c r="D13" s="1">
        <v>61920.67</v>
      </c>
      <c r="F13" s="1">
        <f t="shared" si="0"/>
        <v>507.42</v>
      </c>
      <c r="H13" s="1">
        <f t="shared" si="1"/>
        <v>246258.53</v>
      </c>
    </row>
    <row r="14" spans="1:8" hidden="1" x14ac:dyDescent="0.2">
      <c r="A14" s="6">
        <f>'FERC Interest Rates'!A22</f>
        <v>41670</v>
      </c>
      <c r="D14" s="1">
        <v>106224.99</v>
      </c>
      <c r="F14" s="1">
        <f t="shared" ref="F14:F26" si="2">ROUND(H13*VLOOKUP(A14,FERCINT14,2)/365*VLOOKUP(A14,FERCINT14,3),2)</f>
        <v>679.74</v>
      </c>
      <c r="H14" s="1">
        <f t="shared" si="1"/>
        <v>353163.26</v>
      </c>
    </row>
    <row r="15" spans="1:8" hidden="1" x14ac:dyDescent="0.2">
      <c r="A15" s="6">
        <f>'FERC Interest Rates'!A23</f>
        <v>41698</v>
      </c>
      <c r="D15" s="1">
        <f>16449+6136.5</f>
        <v>22585.5</v>
      </c>
      <c r="F15" s="1">
        <f t="shared" si="2"/>
        <v>880.49</v>
      </c>
      <c r="H15" s="1">
        <f t="shared" si="1"/>
        <v>376629.25</v>
      </c>
    </row>
    <row r="16" spans="1:8" hidden="1" x14ac:dyDescent="0.2">
      <c r="A16" s="6">
        <f>'FERC Interest Rates'!A24</f>
        <v>41729</v>
      </c>
      <c r="D16" s="1">
        <f>11600+4102.2</f>
        <v>15702.2</v>
      </c>
      <c r="F16" s="1">
        <f t="shared" si="2"/>
        <v>1039.5999999999999</v>
      </c>
      <c r="H16" s="1">
        <f t="shared" si="1"/>
        <v>393371.05</v>
      </c>
    </row>
    <row r="17" spans="1:8" hidden="1" x14ac:dyDescent="0.2">
      <c r="A17" s="6">
        <f>'FERC Interest Rates'!A25</f>
        <v>41759</v>
      </c>
      <c r="D17" s="1">
        <v>6983.2</v>
      </c>
      <c r="F17" s="1">
        <f t="shared" si="2"/>
        <v>1050.79</v>
      </c>
      <c r="H17" s="1">
        <f t="shared" si="1"/>
        <v>401405.04</v>
      </c>
    </row>
    <row r="18" spans="1:8" hidden="1" x14ac:dyDescent="0.2">
      <c r="A18" s="6">
        <f>'FERC Interest Rates'!A26</f>
        <v>41790</v>
      </c>
      <c r="D18" s="1">
        <v>23544</v>
      </c>
      <c r="F18" s="1">
        <f t="shared" si="2"/>
        <v>1107.99</v>
      </c>
      <c r="H18" s="1">
        <f t="shared" si="1"/>
        <v>426057.02999999997</v>
      </c>
    </row>
    <row r="19" spans="1:8" hidden="1" x14ac:dyDescent="0.2">
      <c r="A19" s="6">
        <f>'FERC Interest Rates'!A27</f>
        <v>41820</v>
      </c>
      <c r="D19" s="1">
        <v>-3291</v>
      </c>
      <c r="F19" s="1">
        <f t="shared" si="2"/>
        <v>1138.0999999999999</v>
      </c>
      <c r="H19" s="1">
        <f t="shared" si="1"/>
        <v>423904.12999999995</v>
      </c>
    </row>
    <row r="20" spans="1:8" hidden="1" x14ac:dyDescent="0.2">
      <c r="A20" s="6">
        <f>'FERC Interest Rates'!A28</f>
        <v>41851</v>
      </c>
      <c r="D20" s="1">
        <v>54271</v>
      </c>
      <c r="F20" s="1">
        <f t="shared" si="2"/>
        <v>1170.0899999999999</v>
      </c>
      <c r="H20" s="1">
        <f t="shared" si="1"/>
        <v>479345.22</v>
      </c>
    </row>
    <row r="21" spans="1:8" hidden="1" x14ac:dyDescent="0.2">
      <c r="A21" s="6">
        <f>'FERC Interest Rates'!A29</f>
        <v>41882</v>
      </c>
      <c r="D21" s="1">
        <v>6460</v>
      </c>
      <c r="F21" s="1">
        <f t="shared" si="2"/>
        <v>1323.12</v>
      </c>
      <c r="H21" s="1">
        <f t="shared" si="1"/>
        <v>487128.33999999997</v>
      </c>
    </row>
    <row r="22" spans="1:8" hidden="1" x14ac:dyDescent="0.2">
      <c r="A22" s="6">
        <f>'FERC Interest Rates'!A30</f>
        <v>41912</v>
      </c>
      <c r="D22" s="1">
        <v>97919.2</v>
      </c>
      <c r="F22" s="1">
        <f t="shared" si="2"/>
        <v>1301.23</v>
      </c>
      <c r="H22" s="1">
        <f t="shared" si="1"/>
        <v>586348.77</v>
      </c>
    </row>
    <row r="23" spans="1:8" hidden="1" x14ac:dyDescent="0.2">
      <c r="A23" s="6">
        <f>'FERC Interest Rates'!A31</f>
        <v>41943</v>
      </c>
      <c r="D23" s="1">
        <v>4238.3</v>
      </c>
      <c r="F23" s="1">
        <f t="shared" si="2"/>
        <v>1618.48</v>
      </c>
      <c r="H23" s="1">
        <f t="shared" si="1"/>
        <v>592205.55000000005</v>
      </c>
    </row>
    <row r="24" spans="1:8" hidden="1" x14ac:dyDescent="0.2">
      <c r="A24" s="528" t="s">
        <v>83</v>
      </c>
      <c r="B24" s="528"/>
      <c r="C24" s="528"/>
      <c r="D24" s="528"/>
      <c r="E24" s="528"/>
      <c r="F24" s="528"/>
      <c r="G24" s="1">
        <v>-483282.64</v>
      </c>
      <c r="H24" s="1">
        <f t="shared" si="1"/>
        <v>108922.91000000003</v>
      </c>
    </row>
    <row r="25" spans="1:8" hidden="1" x14ac:dyDescent="0.2">
      <c r="A25" s="6">
        <f>'FERC Interest Rates'!A32</f>
        <v>41973</v>
      </c>
      <c r="D25" s="1">
        <v>33374.75</v>
      </c>
      <c r="F25" s="1">
        <f t="shared" si="2"/>
        <v>290.95999999999998</v>
      </c>
      <c r="H25" s="1">
        <f t="shared" si="1"/>
        <v>142588.62000000002</v>
      </c>
    </row>
    <row r="26" spans="1:8" hidden="1" x14ac:dyDescent="0.2">
      <c r="A26" s="6">
        <f>'FERC Interest Rates'!A33</f>
        <v>42004</v>
      </c>
      <c r="D26" s="1">
        <v>21640</v>
      </c>
      <c r="F26" s="1">
        <f t="shared" si="2"/>
        <v>393.58</v>
      </c>
      <c r="H26" s="1">
        <f t="shared" si="1"/>
        <v>164622.20000000001</v>
      </c>
    </row>
    <row r="27" spans="1:8" hidden="1" x14ac:dyDescent="0.2">
      <c r="A27" s="6">
        <f>'FERC Interest Rates'!A34</f>
        <v>42035</v>
      </c>
      <c r="D27" s="1">
        <v>37399</v>
      </c>
      <c r="F27" s="1">
        <f t="shared" ref="F27:F36" si="3">ROUND(H26*VLOOKUP(A27,FERCINT15,2)/365*VLOOKUP(A27,FERCINT15,3),2)</f>
        <v>454.4</v>
      </c>
      <c r="H27" s="1">
        <f t="shared" si="1"/>
        <v>202475.6</v>
      </c>
    </row>
    <row r="28" spans="1:8" hidden="1" x14ac:dyDescent="0.2">
      <c r="A28" s="6">
        <f>'FERC Interest Rates'!A35</f>
        <v>42063</v>
      </c>
      <c r="D28" s="1">
        <v>55859</v>
      </c>
      <c r="F28" s="1">
        <f t="shared" si="3"/>
        <v>504.8</v>
      </c>
      <c r="H28" s="1">
        <f t="shared" si="1"/>
        <v>258839.40000000002</v>
      </c>
    </row>
    <row r="29" spans="1:8" hidden="1" x14ac:dyDescent="0.2">
      <c r="A29" s="6">
        <f>'FERC Interest Rates'!A36</f>
        <v>42094</v>
      </c>
      <c r="D29" s="1">
        <v>169431.4</v>
      </c>
      <c r="F29" s="1">
        <f t="shared" si="3"/>
        <v>714.47</v>
      </c>
      <c r="H29" s="1">
        <f t="shared" si="1"/>
        <v>428985.27</v>
      </c>
    </row>
    <row r="30" spans="1:8" hidden="1" x14ac:dyDescent="0.2">
      <c r="A30" s="6">
        <f>'FERC Interest Rates'!A37</f>
        <v>42124</v>
      </c>
      <c r="D30" s="1">
        <v>28883.5</v>
      </c>
      <c r="F30" s="1">
        <f t="shared" si="3"/>
        <v>1145.92</v>
      </c>
      <c r="H30" s="1">
        <f t="shared" si="1"/>
        <v>459014.69</v>
      </c>
    </row>
    <row r="31" spans="1:8" hidden="1" x14ac:dyDescent="0.2">
      <c r="A31" s="6">
        <f>'FERC Interest Rates'!A38</f>
        <v>42155</v>
      </c>
      <c r="D31" s="1">
        <v>5600</v>
      </c>
      <c r="F31" s="1">
        <f t="shared" si="3"/>
        <v>1267.01</v>
      </c>
      <c r="H31" s="1">
        <f t="shared" si="1"/>
        <v>465881.7</v>
      </c>
    </row>
    <row r="32" spans="1:8" hidden="1" x14ac:dyDescent="0.2">
      <c r="A32" s="6">
        <f>'FERC Interest Rates'!A39</f>
        <v>42185</v>
      </c>
      <c r="D32" s="1">
        <v>9188</v>
      </c>
      <c r="F32" s="1">
        <f t="shared" si="3"/>
        <v>1244.48</v>
      </c>
      <c r="H32" s="1">
        <f t="shared" si="1"/>
        <v>476314.18</v>
      </c>
    </row>
    <row r="33" spans="1:8" hidden="1" x14ac:dyDescent="0.2">
      <c r="A33" s="6">
        <f>'FERC Interest Rates'!A40</f>
        <v>42216</v>
      </c>
      <c r="D33" s="1">
        <v>51916.2</v>
      </c>
      <c r="F33" s="1">
        <f t="shared" si="3"/>
        <v>1314.76</v>
      </c>
      <c r="H33" s="1">
        <f t="shared" si="1"/>
        <v>529545.14</v>
      </c>
    </row>
    <row r="34" spans="1:8" hidden="1" x14ac:dyDescent="0.2">
      <c r="A34" s="6">
        <f>'FERC Interest Rates'!A41</f>
        <v>42247</v>
      </c>
      <c r="D34" s="1">
        <v>9960</v>
      </c>
      <c r="F34" s="1">
        <f t="shared" si="3"/>
        <v>1461.69</v>
      </c>
      <c r="H34" s="1">
        <f t="shared" si="1"/>
        <v>540966.82999999996</v>
      </c>
    </row>
    <row r="35" spans="1:8" hidden="1" x14ac:dyDescent="0.2">
      <c r="A35" s="6">
        <f>'FERC Interest Rates'!A42</f>
        <v>42277</v>
      </c>
      <c r="D35" s="1">
        <v>171485.2</v>
      </c>
      <c r="F35" s="1">
        <f>ROUND(H34*VLOOKUP(A35,FERCINT15,2)/365*VLOOKUP(A35,FERCINT15,3),2)</f>
        <v>1445.05</v>
      </c>
      <c r="H35" s="1">
        <f>+SUM(D35:G35)+H34</f>
        <v>713897.08</v>
      </c>
    </row>
    <row r="36" spans="1:8" hidden="1" x14ac:dyDescent="0.2">
      <c r="A36" s="6">
        <f>'FERC Interest Rates'!A43</f>
        <v>42308</v>
      </c>
      <c r="D36" s="1">
        <v>63970</v>
      </c>
      <c r="F36" s="1">
        <f t="shared" si="3"/>
        <v>1970.55</v>
      </c>
      <c r="H36" s="1">
        <f t="shared" si="1"/>
        <v>779837.63</v>
      </c>
    </row>
    <row r="37" spans="1:8" hidden="1" x14ac:dyDescent="0.2">
      <c r="A37" s="6">
        <f>'FERC Interest Rates'!A44</f>
        <v>42338</v>
      </c>
      <c r="D37" s="1">
        <v>0</v>
      </c>
      <c r="F37" s="1">
        <f t="shared" ref="F37:F39" si="4">ROUND(H36*VLOOKUP(A37,FERCINT15,2)/365*VLOOKUP(A37,FERCINT15,3),2)</f>
        <v>2083.13</v>
      </c>
      <c r="H37" s="1">
        <f t="shared" ref="H37:H75" si="5">+SUM(D37:G37)+H36</f>
        <v>781920.76</v>
      </c>
    </row>
    <row r="38" spans="1:8" hidden="1" x14ac:dyDescent="0.2">
      <c r="A38" s="528" t="s">
        <v>87</v>
      </c>
      <c r="B38" s="528"/>
      <c r="C38" s="528"/>
      <c r="D38" s="528"/>
      <c r="E38" s="528"/>
      <c r="F38" s="528"/>
      <c r="G38" s="1">
        <v>-535321.06999999995</v>
      </c>
      <c r="H38" s="1">
        <f t="shared" si="5"/>
        <v>246599.69000000006</v>
      </c>
    </row>
    <row r="39" spans="1:8" hidden="1" x14ac:dyDescent="0.2">
      <c r="A39" s="6">
        <f>'FERC Interest Rates'!A45</f>
        <v>42369</v>
      </c>
      <c r="D39" s="1">
        <v>106186</v>
      </c>
      <c r="F39" s="1">
        <f t="shared" si="4"/>
        <v>680.68</v>
      </c>
      <c r="H39" s="1">
        <f t="shared" si="5"/>
        <v>353466.37000000005</v>
      </c>
    </row>
    <row r="40" spans="1:8" hidden="1" x14ac:dyDescent="0.2">
      <c r="A40" s="6">
        <f>'FERC Interest Rates'!A46</f>
        <v>42400</v>
      </c>
      <c r="D40" s="1">
        <v>42155</v>
      </c>
      <c r="F40" s="1">
        <f t="shared" ref="F40:F52" si="6">ROUND(H39*VLOOKUP(A40,FERCINT16,2)/365*VLOOKUP(A40,FERCINT16,3),2)</f>
        <v>975.66</v>
      </c>
      <c r="H40" s="1">
        <f t="shared" si="5"/>
        <v>396597.03</v>
      </c>
    </row>
    <row r="41" spans="1:8" hidden="1" x14ac:dyDescent="0.2">
      <c r="A41" s="6">
        <f>'FERC Interest Rates'!A47</f>
        <v>42429</v>
      </c>
      <c r="D41" s="1">
        <v>46723.95</v>
      </c>
      <c r="F41" s="1">
        <f t="shared" si="6"/>
        <v>1024.0899999999999</v>
      </c>
      <c r="H41" s="1">
        <f t="shared" si="5"/>
        <v>444345.07</v>
      </c>
    </row>
    <row r="42" spans="1:8" hidden="1" x14ac:dyDescent="0.2">
      <c r="A42" s="6">
        <f>'FERC Interest Rates'!A48</f>
        <v>42460</v>
      </c>
      <c r="D42" s="1">
        <v>4550</v>
      </c>
      <c r="F42" s="1">
        <f t="shared" si="6"/>
        <v>1226.51</v>
      </c>
      <c r="H42" s="1">
        <f t="shared" si="5"/>
        <v>450121.58</v>
      </c>
    </row>
    <row r="43" spans="1:8" hidden="1" x14ac:dyDescent="0.2">
      <c r="A43" s="6">
        <f>'FERC Interest Rates'!A49</f>
        <v>42490</v>
      </c>
      <c r="D43" s="1">
        <v>4473</v>
      </c>
      <c r="F43" s="1">
        <f t="shared" si="6"/>
        <v>1280.07</v>
      </c>
      <c r="H43" s="1">
        <f t="shared" si="5"/>
        <v>455874.65</v>
      </c>
    </row>
    <row r="44" spans="1:8" hidden="1" x14ac:dyDescent="0.2">
      <c r="A44" s="6">
        <f>'FERC Interest Rates'!A50</f>
        <v>42521</v>
      </c>
      <c r="D44" s="1">
        <v>40528</v>
      </c>
      <c r="F44" s="1">
        <f t="shared" si="6"/>
        <v>1339.65</v>
      </c>
      <c r="H44" s="1">
        <f t="shared" si="5"/>
        <v>497742.30000000005</v>
      </c>
    </row>
    <row r="45" spans="1:8" hidden="1" x14ac:dyDescent="0.2">
      <c r="A45" s="6">
        <f>'FERC Interest Rates'!A51</f>
        <v>42551</v>
      </c>
      <c r="D45" s="1">
        <v>6989</v>
      </c>
      <c r="F45" s="1">
        <f t="shared" si="6"/>
        <v>1415.5</v>
      </c>
      <c r="H45" s="1">
        <f t="shared" si="5"/>
        <v>506146.80000000005</v>
      </c>
    </row>
    <row r="46" spans="1:8" hidden="1" x14ac:dyDescent="0.2">
      <c r="A46" s="6">
        <f>'FERC Interest Rates'!A52</f>
        <v>42582</v>
      </c>
      <c r="D46" s="1">
        <f>2580+4908</f>
        <v>7488</v>
      </c>
      <c r="F46" s="1">
        <f t="shared" si="6"/>
        <v>1504.57</v>
      </c>
      <c r="H46" s="1">
        <f t="shared" si="5"/>
        <v>515139.37000000005</v>
      </c>
    </row>
    <row r="47" spans="1:8" hidden="1" x14ac:dyDescent="0.2">
      <c r="A47" s="6">
        <f>'FERC Interest Rates'!A53</f>
        <v>42613</v>
      </c>
      <c r="D47" s="1">
        <v>19963.5</v>
      </c>
      <c r="F47" s="1">
        <f t="shared" si="6"/>
        <v>1531.3</v>
      </c>
      <c r="H47" s="1">
        <f t="shared" si="5"/>
        <v>536634.17000000004</v>
      </c>
    </row>
    <row r="48" spans="1:8" hidden="1" x14ac:dyDescent="0.2">
      <c r="A48" s="6">
        <f>'FERC Interest Rates'!A54</f>
        <v>42643</v>
      </c>
      <c r="D48" s="1">
        <f>22375+2149.65</f>
        <v>24524.65</v>
      </c>
      <c r="F48" s="1">
        <f t="shared" si="6"/>
        <v>1543.74</v>
      </c>
      <c r="H48" s="1">
        <f t="shared" si="5"/>
        <v>562702.56000000006</v>
      </c>
    </row>
    <row r="49" spans="1:8" hidden="1" x14ac:dyDescent="0.2">
      <c r="A49" s="6">
        <f>'FERC Interest Rates'!A55</f>
        <v>42674</v>
      </c>
      <c r="D49" s="1">
        <v>0</v>
      </c>
      <c r="F49" s="1">
        <f t="shared" si="6"/>
        <v>1672.69</v>
      </c>
      <c r="H49" s="1">
        <f t="shared" si="5"/>
        <v>564375.25</v>
      </c>
    </row>
    <row r="50" spans="1:8" hidden="1" x14ac:dyDescent="0.2">
      <c r="A50" s="528" t="s">
        <v>101</v>
      </c>
      <c r="B50" s="528"/>
      <c r="C50" s="528"/>
      <c r="D50" s="528"/>
      <c r="E50" s="528"/>
      <c r="F50" s="528"/>
      <c r="G50" s="1">
        <v>-519697.25</v>
      </c>
      <c r="H50" s="1">
        <f t="shared" si="5"/>
        <v>44678</v>
      </c>
    </row>
    <row r="51" spans="1:8" hidden="1" x14ac:dyDescent="0.2">
      <c r="A51" s="6">
        <f>'FERC Interest Rates'!A56</f>
        <v>42704</v>
      </c>
      <c r="D51" s="1">
        <v>213476.98</v>
      </c>
      <c r="F51" s="1">
        <f t="shared" si="6"/>
        <v>128.53</v>
      </c>
      <c r="H51" s="1">
        <f t="shared" si="5"/>
        <v>258283.51</v>
      </c>
    </row>
    <row r="52" spans="1:8" hidden="1" x14ac:dyDescent="0.2">
      <c r="A52" s="6">
        <f>'FERC Interest Rates'!A57</f>
        <v>42735</v>
      </c>
      <c r="D52" s="1">
        <f>42403.12+40955.44</f>
        <v>83358.559999999998</v>
      </c>
      <c r="F52" s="1">
        <f t="shared" si="6"/>
        <v>767.77</v>
      </c>
      <c r="H52" s="1">
        <f t="shared" si="5"/>
        <v>342409.84</v>
      </c>
    </row>
    <row r="53" spans="1:8" hidden="1" x14ac:dyDescent="0.2">
      <c r="A53" s="6">
        <f>'FERC Interest Rates'!A58</f>
        <v>42766</v>
      </c>
      <c r="D53" s="1">
        <v>0</v>
      </c>
      <c r="F53" s="1">
        <f t="shared" ref="F53:F62" si="7">ROUND(H52*VLOOKUP(A53,FERCINT17,2)/365*VLOOKUP(A53,FERCINT17,3),2)</f>
        <v>1017.85</v>
      </c>
      <c r="H53" s="1">
        <f t="shared" si="5"/>
        <v>343427.69</v>
      </c>
    </row>
    <row r="54" spans="1:8" hidden="1" x14ac:dyDescent="0.2">
      <c r="A54" s="6">
        <f>'FERC Interest Rates'!A59</f>
        <v>42794</v>
      </c>
      <c r="D54" s="1">
        <f>10882.25+29905</f>
        <v>40787.25</v>
      </c>
      <c r="F54" s="1">
        <f t="shared" si="7"/>
        <v>922.08</v>
      </c>
      <c r="H54" s="1">
        <f t="shared" si="5"/>
        <v>385137.02</v>
      </c>
    </row>
    <row r="55" spans="1:8" hidden="1" x14ac:dyDescent="0.2">
      <c r="A55" s="6">
        <f>'FERC Interest Rates'!A60</f>
        <v>42825</v>
      </c>
      <c r="D55" s="1">
        <f>1091.24+3400</f>
        <v>4491.24</v>
      </c>
      <c r="F55" s="1">
        <f t="shared" si="7"/>
        <v>1144.8599999999999</v>
      </c>
      <c r="H55" s="1">
        <f t="shared" si="5"/>
        <v>390773.12</v>
      </c>
    </row>
    <row r="56" spans="1:8" hidden="1" x14ac:dyDescent="0.2">
      <c r="A56" s="6">
        <f>'FERC Interest Rates'!A61</f>
        <v>42855</v>
      </c>
      <c r="D56" s="1">
        <v>28779.5</v>
      </c>
      <c r="F56" s="1">
        <f t="shared" si="7"/>
        <v>1191.5899999999999</v>
      </c>
      <c r="H56" s="1">
        <f t="shared" si="5"/>
        <v>420744.21</v>
      </c>
    </row>
    <row r="57" spans="1:8" hidden="1" x14ac:dyDescent="0.2">
      <c r="A57" s="6">
        <f>'FERC Interest Rates'!A62</f>
        <v>42886</v>
      </c>
      <c r="D57" s="1">
        <v>20974.400000000001</v>
      </c>
      <c r="F57" s="1">
        <f t="shared" si="7"/>
        <v>1325.75</v>
      </c>
      <c r="H57" s="1">
        <f t="shared" si="5"/>
        <v>443044.36000000004</v>
      </c>
    </row>
    <row r="58" spans="1:8" hidden="1" x14ac:dyDescent="0.2">
      <c r="A58" s="6">
        <f>'FERC Interest Rates'!A63</f>
        <v>42916</v>
      </c>
      <c r="D58" s="1">
        <v>28083.65</v>
      </c>
      <c r="F58" s="1">
        <f t="shared" si="7"/>
        <v>1350.98</v>
      </c>
      <c r="H58" s="1">
        <f t="shared" si="5"/>
        <v>472478.99000000005</v>
      </c>
    </row>
    <row r="59" spans="1:8" hidden="1" x14ac:dyDescent="0.2">
      <c r="A59" s="6">
        <f>'FERC Interest Rates'!A64</f>
        <v>42947</v>
      </c>
      <c r="D59" s="1">
        <f>2895-21442.5</f>
        <v>-18547.5</v>
      </c>
      <c r="F59" s="1">
        <f t="shared" si="7"/>
        <v>1589.08</v>
      </c>
      <c r="H59" s="1">
        <f t="shared" si="5"/>
        <v>455520.57000000007</v>
      </c>
    </row>
    <row r="60" spans="1:8" hidden="1" x14ac:dyDescent="0.2">
      <c r="A60" s="6">
        <f>'FERC Interest Rates'!A65</f>
        <v>42978</v>
      </c>
      <c r="D60" s="1">
        <f>37068.84+39620.18-650-600</f>
        <v>75439.01999999999</v>
      </c>
      <c r="F60" s="1">
        <f t="shared" si="7"/>
        <v>1532.05</v>
      </c>
      <c r="H60" s="1">
        <f t="shared" si="5"/>
        <v>532491.64</v>
      </c>
    </row>
    <row r="61" spans="1:8" hidden="1" x14ac:dyDescent="0.2">
      <c r="A61" s="6">
        <f>'FERC Interest Rates'!A66</f>
        <v>43008</v>
      </c>
      <c r="D61" s="1">
        <v>0</v>
      </c>
      <c r="F61" s="1">
        <f t="shared" si="7"/>
        <v>1733.15</v>
      </c>
      <c r="H61" s="1">
        <f t="shared" si="5"/>
        <v>534224.79</v>
      </c>
    </row>
    <row r="62" spans="1:8" hidden="1" x14ac:dyDescent="0.2">
      <c r="A62" s="6">
        <f>'FERC Interest Rates'!A67</f>
        <v>43039</v>
      </c>
      <c r="D62" s="1">
        <f>25136+53412</f>
        <v>78548</v>
      </c>
      <c r="F62" s="1">
        <f t="shared" si="7"/>
        <v>1910.18</v>
      </c>
      <c r="H62" s="1">
        <f t="shared" si="5"/>
        <v>614682.97</v>
      </c>
    </row>
    <row r="63" spans="1:8" hidden="1" x14ac:dyDescent="0.2">
      <c r="A63" s="528" t="s">
        <v>101</v>
      </c>
      <c r="B63" s="528"/>
      <c r="C63" s="528"/>
      <c r="D63" s="528"/>
      <c r="E63" s="528"/>
      <c r="F63" s="528"/>
      <c r="G63" s="1">
        <v>-460179.79</v>
      </c>
      <c r="H63" s="1">
        <f t="shared" si="5"/>
        <v>154503.18</v>
      </c>
    </row>
    <row r="64" spans="1:8" hidden="1" x14ac:dyDescent="0.2">
      <c r="A64" s="6">
        <f>'FERC Interest Rates'!A68</f>
        <v>43069</v>
      </c>
      <c r="D64" s="1">
        <f>32939.25+17373</f>
        <v>50312.25</v>
      </c>
      <c r="F64" s="1">
        <f>ROUND(H63*VLOOKUP(A64,FERCINT17,2)/365*VLOOKUP(A64,FERCINT17,3),2)</f>
        <v>534.62</v>
      </c>
      <c r="H64" s="1">
        <f t="shared" si="5"/>
        <v>205350.05</v>
      </c>
    </row>
    <row r="65" spans="1:8" hidden="1" x14ac:dyDescent="0.2">
      <c r="A65" s="6">
        <f>'FERC Interest Rates'!A69</f>
        <v>43100</v>
      </c>
      <c r="D65" s="1">
        <f>126561.3-734.25</f>
        <v>125827.05</v>
      </c>
      <c r="F65" s="1">
        <f>ROUND(H64*VLOOKUP(A65,FERCINT17,2)/365*VLOOKUP(A65,FERCINT17,3),2)</f>
        <v>734.25</v>
      </c>
      <c r="H65" s="1">
        <f t="shared" si="5"/>
        <v>331911.34999999998</v>
      </c>
    </row>
    <row r="66" spans="1:8" hidden="1" x14ac:dyDescent="0.2">
      <c r="A66" s="6">
        <f>'FERC Interest Rates'!A70</f>
        <v>43131</v>
      </c>
      <c r="D66" s="1">
        <v>16554.25</v>
      </c>
      <c r="F66" s="1">
        <f t="shared" ref="F66:F78" si="8">ROUND(H65*VLOOKUP(A66,FERCINT18,2)/365*VLOOKUP(A66,FERCINT18,3),2)</f>
        <v>1198.06</v>
      </c>
      <c r="H66" s="1">
        <f t="shared" si="5"/>
        <v>349663.66</v>
      </c>
    </row>
    <row r="67" spans="1:8" hidden="1" x14ac:dyDescent="0.2">
      <c r="A67" s="6">
        <f>'FERC Interest Rates'!A71</f>
        <v>43159</v>
      </c>
      <c r="D67" s="1">
        <v>109895.15</v>
      </c>
      <c r="F67" s="1">
        <f t="shared" si="8"/>
        <v>1140</v>
      </c>
      <c r="H67" s="1">
        <f t="shared" si="5"/>
        <v>460698.80999999994</v>
      </c>
    </row>
    <row r="68" spans="1:8" hidden="1" x14ac:dyDescent="0.2">
      <c r="A68" s="6">
        <f>'FERC Interest Rates'!A72</f>
        <v>43190</v>
      </c>
      <c r="D68" s="1">
        <v>0</v>
      </c>
      <c r="F68" s="1">
        <f t="shared" si="8"/>
        <v>1662.93</v>
      </c>
      <c r="H68" s="1">
        <f t="shared" si="5"/>
        <v>462361.73999999993</v>
      </c>
    </row>
    <row r="69" spans="1:8" hidden="1" x14ac:dyDescent="0.2">
      <c r="A69" s="6">
        <f>'FERC Interest Rates'!A73</f>
        <v>43220</v>
      </c>
      <c r="D69" s="1">
        <v>58267.93</v>
      </c>
      <c r="F69" s="1">
        <f t="shared" si="8"/>
        <v>1698.7</v>
      </c>
      <c r="H69" s="1">
        <f t="shared" si="5"/>
        <v>522328.36999999994</v>
      </c>
    </row>
    <row r="70" spans="1:8" hidden="1" x14ac:dyDescent="0.2">
      <c r="A70" s="6">
        <f>'FERC Interest Rates'!A74</f>
        <v>43251</v>
      </c>
      <c r="D70" s="1">
        <v>59699.5</v>
      </c>
      <c r="F70" s="1">
        <f t="shared" si="8"/>
        <v>1982.99</v>
      </c>
      <c r="H70" s="1">
        <f t="shared" si="5"/>
        <v>584010.86</v>
      </c>
    </row>
    <row r="71" spans="1:8" hidden="1" x14ac:dyDescent="0.2">
      <c r="A71" s="6">
        <f>'FERC Interest Rates'!A75</f>
        <v>43281</v>
      </c>
      <c r="D71" s="1">
        <v>163358.29999999999</v>
      </c>
      <c r="F71" s="1">
        <f t="shared" si="8"/>
        <v>2145.64</v>
      </c>
      <c r="H71" s="1">
        <f t="shared" si="5"/>
        <v>749514.8</v>
      </c>
    </row>
    <row r="72" spans="1:8" hidden="1" x14ac:dyDescent="0.2">
      <c r="A72" s="6">
        <f>'FERC Interest Rates'!A76</f>
        <v>43312</v>
      </c>
      <c r="D72" s="1">
        <v>105554.05</v>
      </c>
      <c r="F72" s="1">
        <f t="shared" si="8"/>
        <v>2985.53</v>
      </c>
      <c r="H72" s="1">
        <f t="shared" si="5"/>
        <v>858054.38</v>
      </c>
    </row>
    <row r="73" spans="1:8" hidden="1" x14ac:dyDescent="0.2">
      <c r="A73" s="6">
        <f>'FERC Interest Rates'!A77</f>
        <v>43343</v>
      </c>
      <c r="D73" s="1">
        <v>42842.2</v>
      </c>
      <c r="F73" s="1">
        <f t="shared" si="8"/>
        <v>3417.88</v>
      </c>
      <c r="H73" s="1">
        <f t="shared" si="5"/>
        <v>904314.46</v>
      </c>
    </row>
    <row r="74" spans="1:8" hidden="1" x14ac:dyDescent="0.2">
      <c r="A74" s="6">
        <f>'FERC Interest Rates'!A78</f>
        <v>43373</v>
      </c>
      <c r="D74" s="1">
        <v>0</v>
      </c>
      <c r="F74" s="1">
        <f t="shared" si="8"/>
        <v>3485.95</v>
      </c>
      <c r="H74" s="1">
        <f t="shared" si="5"/>
        <v>907800.40999999992</v>
      </c>
    </row>
    <row r="75" spans="1:8" hidden="1" x14ac:dyDescent="0.2">
      <c r="A75" s="6">
        <f>'FERC Interest Rates'!A79</f>
        <v>43404</v>
      </c>
      <c r="D75" s="1">
        <v>245757.14</v>
      </c>
      <c r="F75" s="1">
        <f t="shared" si="8"/>
        <v>3824.2</v>
      </c>
      <c r="H75" s="1">
        <f t="shared" si="5"/>
        <v>1157381.75</v>
      </c>
    </row>
    <row r="76" spans="1:8" hidden="1" x14ac:dyDescent="0.2">
      <c r="A76" s="528" t="s">
        <v>101</v>
      </c>
      <c r="B76" s="528"/>
      <c r="C76" s="528"/>
      <c r="D76" s="528"/>
      <c r="E76" s="528"/>
      <c r="F76" s="528"/>
      <c r="G76" s="1">
        <v>-868436.09</v>
      </c>
      <c r="H76" s="1">
        <f t="shared" ref="H76:H87" si="9">+SUM(D76:G76)+H75</f>
        <v>288945.66000000003</v>
      </c>
    </row>
    <row r="77" spans="1:8" hidden="1" x14ac:dyDescent="0.2">
      <c r="A77" s="6">
        <f>'FERC Interest Rates'!A80</f>
        <v>43434</v>
      </c>
      <c r="D77" s="1">
        <v>62900.65</v>
      </c>
      <c r="F77" s="1">
        <f t="shared" si="8"/>
        <v>1177.95</v>
      </c>
      <c r="H77" s="1">
        <f t="shared" si="9"/>
        <v>353024.26</v>
      </c>
    </row>
    <row r="78" spans="1:8" hidden="1" x14ac:dyDescent="0.2">
      <c r="A78" s="6">
        <f>'FERC Interest Rates'!A81</f>
        <v>43465</v>
      </c>
      <c r="D78" s="1">
        <v>30133.96</v>
      </c>
      <c r="F78" s="1">
        <f t="shared" si="8"/>
        <v>1487.15</v>
      </c>
      <c r="H78" s="1">
        <f t="shared" si="9"/>
        <v>384645.37</v>
      </c>
    </row>
    <row r="79" spans="1:8" hidden="1" x14ac:dyDescent="0.2">
      <c r="A79" s="6">
        <f>'FERC Interest Rates'!A82</f>
        <v>43496</v>
      </c>
      <c r="D79" s="1">
        <v>12568</v>
      </c>
      <c r="F79" s="1">
        <f t="shared" ref="F79:F88" si="10">ROUND(H78*VLOOKUP(A79,FERCINT19,2)/365*VLOOKUP(A79,FERCINT19,3),2)</f>
        <v>1692.23</v>
      </c>
      <c r="H79" s="1">
        <f t="shared" si="9"/>
        <v>398905.59999999998</v>
      </c>
    </row>
    <row r="80" spans="1:8" hidden="1" x14ac:dyDescent="0.2">
      <c r="A80" s="6">
        <f>'FERC Interest Rates'!A83</f>
        <v>43524</v>
      </c>
      <c r="D80" s="1">
        <v>63287</v>
      </c>
      <c r="F80" s="1">
        <f t="shared" si="10"/>
        <v>1585.13</v>
      </c>
      <c r="H80" s="1">
        <f t="shared" si="9"/>
        <v>463777.73</v>
      </c>
    </row>
    <row r="81" spans="1:8" hidden="1" x14ac:dyDescent="0.2">
      <c r="A81" s="6">
        <f>'FERC Interest Rates'!A84</f>
        <v>43555</v>
      </c>
      <c r="D81" s="1">
        <v>17170.5</v>
      </c>
      <c r="F81" s="1">
        <f t="shared" si="10"/>
        <v>2040.37</v>
      </c>
      <c r="H81" s="1">
        <f t="shared" si="9"/>
        <v>482988.6</v>
      </c>
    </row>
    <row r="82" spans="1:8" hidden="1" x14ac:dyDescent="0.2">
      <c r="A82" s="6">
        <f>'FERC Interest Rates'!A85</f>
        <v>43585</v>
      </c>
      <c r="D82" s="1">
        <v>148908.5</v>
      </c>
      <c r="F82" s="1">
        <f t="shared" si="10"/>
        <v>2163.52</v>
      </c>
      <c r="H82" s="1">
        <f t="shared" si="9"/>
        <v>634060.62</v>
      </c>
    </row>
    <row r="83" spans="1:8" hidden="1" x14ac:dyDescent="0.2">
      <c r="A83" s="6">
        <f>'FERC Interest Rates'!A86</f>
        <v>43616</v>
      </c>
      <c r="D83" s="1">
        <v>26801.5</v>
      </c>
      <c r="F83" s="1">
        <f t="shared" si="10"/>
        <v>2934.92</v>
      </c>
      <c r="H83" s="1">
        <f t="shared" si="9"/>
        <v>663797.04</v>
      </c>
    </row>
    <row r="84" spans="1:8" hidden="1" x14ac:dyDescent="0.2">
      <c r="A84" s="6">
        <f>'FERC Interest Rates'!A87</f>
        <v>43646</v>
      </c>
      <c r="B84" s="162"/>
      <c r="C84" s="162"/>
      <c r="D84" s="1">
        <v>145001.82999999999</v>
      </c>
      <c r="E84" s="162"/>
      <c r="F84" s="1">
        <f t="shared" si="10"/>
        <v>2973.45</v>
      </c>
      <c r="H84" s="1">
        <f t="shared" si="9"/>
        <v>811772.32000000007</v>
      </c>
    </row>
    <row r="85" spans="1:8" hidden="1" x14ac:dyDescent="0.2">
      <c r="A85" s="6">
        <f>'FERC Interest Rates'!A88</f>
        <v>43677</v>
      </c>
      <c r="B85" s="162"/>
      <c r="C85" s="162"/>
      <c r="D85" s="1">
        <v>201351.13</v>
      </c>
      <c r="E85" s="162"/>
      <c r="F85" s="1">
        <f t="shared" si="10"/>
        <v>3791.98</v>
      </c>
      <c r="H85" s="1">
        <f t="shared" si="9"/>
        <v>1016915.43</v>
      </c>
    </row>
    <row r="86" spans="1:8" hidden="1" x14ac:dyDescent="0.2">
      <c r="A86" s="6">
        <f>'FERC Interest Rates'!A89</f>
        <v>43708</v>
      </c>
      <c r="B86" s="162"/>
      <c r="C86" s="162"/>
      <c r="D86" s="1">
        <v>18309.5</v>
      </c>
      <c r="E86" s="162"/>
      <c r="F86" s="1">
        <f t="shared" si="10"/>
        <v>4750.25</v>
      </c>
      <c r="H86" s="1">
        <f t="shared" si="9"/>
        <v>1039975.18</v>
      </c>
    </row>
    <row r="87" spans="1:8" hidden="1" x14ac:dyDescent="0.2">
      <c r="A87" s="6">
        <f>'FERC Interest Rates'!A90</f>
        <v>43738</v>
      </c>
      <c r="B87" s="162"/>
      <c r="C87" s="162"/>
      <c r="D87" s="1">
        <v>113986</v>
      </c>
      <c r="E87" s="162"/>
      <c r="F87" s="1">
        <f t="shared" si="10"/>
        <v>4701.26</v>
      </c>
      <c r="H87" s="1">
        <f t="shared" si="9"/>
        <v>1158662.44</v>
      </c>
    </row>
    <row r="88" spans="1:8" hidden="1" x14ac:dyDescent="0.2">
      <c r="A88" s="6">
        <f>'FERC Interest Rates'!A91</f>
        <v>43769</v>
      </c>
      <c r="B88" s="162"/>
      <c r="C88" s="162"/>
      <c r="D88" s="1">
        <v>166950</v>
      </c>
      <c r="E88" s="162"/>
      <c r="F88" s="1">
        <f t="shared" si="10"/>
        <v>5333.66</v>
      </c>
      <c r="H88" s="1">
        <f>+SUM(D88:G88)+H87</f>
        <v>1330946.0999999999</v>
      </c>
    </row>
    <row r="89" spans="1:8" hidden="1" x14ac:dyDescent="0.2">
      <c r="A89" s="528" t="s">
        <v>101</v>
      </c>
      <c r="B89" s="528"/>
      <c r="C89" s="528"/>
      <c r="D89" s="528"/>
      <c r="E89" s="528"/>
      <c r="F89" s="528"/>
      <c r="G89" s="1">
        <v>-1031008.45</v>
      </c>
      <c r="H89" s="1">
        <f t="shared" ref="H89" si="11">+SUM(D89:G89)+H88</f>
        <v>299937.64999999991</v>
      </c>
    </row>
    <row r="90" spans="1:8" hidden="1" x14ac:dyDescent="0.2">
      <c r="A90" s="6">
        <f>'FERC Interest Rates'!A92</f>
        <v>43799</v>
      </c>
      <c r="B90" s="162"/>
      <c r="C90" s="162"/>
      <c r="D90" s="1">
        <v>7220</v>
      </c>
      <c r="E90" s="162"/>
      <c r="F90" s="1">
        <f>ROUND(H89*VLOOKUP(A90,FERCINT19,2)/365*VLOOKUP(A90,FERCINT19,3),2)</f>
        <v>1336.16</v>
      </c>
      <c r="H90" s="1">
        <f>+SUM(D90:G90)+H89</f>
        <v>308493.80999999988</v>
      </c>
    </row>
    <row r="91" spans="1:8" hidden="1" x14ac:dyDescent="0.2">
      <c r="A91" s="6">
        <f>'FERC Interest Rates'!A93</f>
        <v>43830</v>
      </c>
      <c r="B91" s="162"/>
      <c r="C91" s="162"/>
      <c r="D91" s="1">
        <v>63428.5</v>
      </c>
      <c r="E91" s="162"/>
      <c r="F91" s="1">
        <f t="shared" ref="F91" si="12">ROUND(H90*VLOOKUP(A91,FERCINT19,2)/365*VLOOKUP(A91,FERCINT19,3),2)</f>
        <v>1420.09</v>
      </c>
      <c r="H91" s="1">
        <f t="shared" ref="H91:H114" si="13">+SUM(D91:G91)+H90</f>
        <v>373342.39999999991</v>
      </c>
    </row>
    <row r="92" spans="1:8" hidden="1" x14ac:dyDescent="0.2">
      <c r="A92" s="6">
        <f>'FERC Interest Rates'!A94</f>
        <v>43861</v>
      </c>
      <c r="B92" s="162"/>
      <c r="C92" s="162"/>
      <c r="D92" s="1">
        <v>52593.38</v>
      </c>
      <c r="E92" s="162"/>
      <c r="F92" s="1">
        <f t="shared" ref="F92:F104" si="14">ROUND(H91*VLOOKUP(A92,FERCINT20,2)/365*VLOOKUP(A92,FERCINT20,3),2)</f>
        <v>1572.74</v>
      </c>
      <c r="H92" s="1">
        <f t="shared" si="13"/>
        <v>427508.5199999999</v>
      </c>
    </row>
    <row r="93" spans="1:8" hidden="1" x14ac:dyDescent="0.2">
      <c r="A93" s="6">
        <f>'FERC Interest Rates'!A95</f>
        <v>43890</v>
      </c>
      <c r="B93" s="162"/>
      <c r="C93" s="162"/>
      <c r="D93" s="1">
        <v>118099.97</v>
      </c>
      <c r="E93" s="162"/>
      <c r="F93" s="1">
        <f t="shared" si="14"/>
        <v>1684.73</v>
      </c>
      <c r="H93" s="1">
        <f t="shared" si="13"/>
        <v>547293.21999999986</v>
      </c>
    </row>
    <row r="94" spans="1:8" hidden="1" x14ac:dyDescent="0.2">
      <c r="A94" s="6">
        <f>'FERC Interest Rates'!A96</f>
        <v>43921</v>
      </c>
      <c r="B94" s="162"/>
      <c r="C94" s="162"/>
      <c r="D94" s="1">
        <v>11932.5</v>
      </c>
      <c r="E94" s="162"/>
      <c r="F94" s="1">
        <f t="shared" si="14"/>
        <v>2305.5300000000002</v>
      </c>
      <c r="H94" s="1">
        <f t="shared" si="13"/>
        <v>561531.24999999988</v>
      </c>
    </row>
    <row r="95" spans="1:8" x14ac:dyDescent="0.2">
      <c r="A95" s="6">
        <f>'FERC Interest Rates'!A97</f>
        <v>43951</v>
      </c>
      <c r="B95" s="162"/>
      <c r="C95" s="162"/>
      <c r="D95" s="1">
        <v>32396.07</v>
      </c>
      <c r="E95" s="162"/>
      <c r="F95" s="1">
        <f t="shared" si="14"/>
        <v>2192.2800000000002</v>
      </c>
      <c r="H95" s="1">
        <f t="shared" si="13"/>
        <v>596119.59999999986</v>
      </c>
    </row>
    <row r="96" spans="1:8" x14ac:dyDescent="0.2">
      <c r="A96" s="6">
        <f>'FERC Interest Rates'!A98</f>
        <v>43982</v>
      </c>
      <c r="B96" s="162"/>
      <c r="C96" s="162"/>
      <c r="D96" s="1">
        <v>54436.76</v>
      </c>
      <c r="E96" s="162"/>
      <c r="F96" s="1">
        <f t="shared" si="14"/>
        <v>2404.89</v>
      </c>
      <c r="H96" s="1">
        <f t="shared" si="13"/>
        <v>652961.24999999988</v>
      </c>
    </row>
    <row r="97" spans="1:8" x14ac:dyDescent="0.2">
      <c r="A97" s="6">
        <f>'FERC Interest Rates'!A99</f>
        <v>44012</v>
      </c>
      <c r="B97" s="162"/>
      <c r="C97" s="162"/>
      <c r="D97" s="1">
        <v>115070</v>
      </c>
      <c r="E97" s="162"/>
      <c r="F97" s="1">
        <f t="shared" si="14"/>
        <v>2549.23</v>
      </c>
      <c r="H97" s="1">
        <f t="shared" si="13"/>
        <v>770580.47999999986</v>
      </c>
    </row>
    <row r="98" spans="1:8" x14ac:dyDescent="0.2">
      <c r="A98" s="6">
        <f>'FERC Interest Rates'!A100</f>
        <v>44043</v>
      </c>
      <c r="B98" s="162"/>
      <c r="C98" s="162"/>
      <c r="D98" s="1">
        <v>90537.5</v>
      </c>
      <c r="E98" s="162"/>
      <c r="F98" s="1">
        <f t="shared" si="14"/>
        <v>2244.8200000000002</v>
      </c>
      <c r="H98" s="1">
        <f t="shared" si="13"/>
        <v>863362.79999999981</v>
      </c>
    </row>
    <row r="99" spans="1:8" x14ac:dyDescent="0.2">
      <c r="A99" s="6">
        <f>'FERC Interest Rates'!A101</f>
        <v>44074</v>
      </c>
      <c r="B99" s="162"/>
      <c r="C99" s="162"/>
      <c r="D99" s="1">
        <v>84537</v>
      </c>
      <c r="E99" s="162"/>
      <c r="F99" s="1">
        <f t="shared" si="14"/>
        <v>2515.11</v>
      </c>
      <c r="H99" s="1">
        <f t="shared" si="13"/>
        <v>950414.9099999998</v>
      </c>
    </row>
    <row r="100" spans="1:8" x14ac:dyDescent="0.2">
      <c r="A100" s="6">
        <f>'FERC Interest Rates'!A102</f>
        <v>44104</v>
      </c>
      <c r="B100" s="162"/>
      <c r="C100" s="162"/>
      <c r="D100" s="1">
        <v>67292</v>
      </c>
      <c r="E100" s="162"/>
      <c r="F100" s="1">
        <f t="shared" si="14"/>
        <v>2679.39</v>
      </c>
      <c r="H100" s="1">
        <f t="shared" si="13"/>
        <v>1020386.2999999998</v>
      </c>
    </row>
    <row r="101" spans="1:8" x14ac:dyDescent="0.2">
      <c r="A101" s="6">
        <f>'FERC Interest Rates'!A103</f>
        <v>44135</v>
      </c>
      <c r="B101" s="162"/>
      <c r="C101" s="162"/>
      <c r="D101" s="1">
        <v>142546</v>
      </c>
      <c r="E101" s="162"/>
      <c r="F101" s="1">
        <f t="shared" si="14"/>
        <v>2816.55</v>
      </c>
      <c r="H101" s="1">
        <f t="shared" si="13"/>
        <v>1165748.8499999999</v>
      </c>
    </row>
    <row r="102" spans="1:8" x14ac:dyDescent="0.2">
      <c r="A102" s="528" t="s">
        <v>101</v>
      </c>
      <c r="B102" s="528"/>
      <c r="C102" s="528"/>
      <c r="D102" s="528"/>
      <c r="E102" s="528"/>
      <c r="F102" s="528"/>
      <c r="G102" s="146">
        <v>-870715.77</v>
      </c>
      <c r="H102" s="1">
        <f t="shared" si="13"/>
        <v>295033.07999999984</v>
      </c>
    </row>
    <row r="103" spans="1:8" x14ac:dyDescent="0.2">
      <c r="A103" s="6">
        <f>'FERC Interest Rates'!A104</f>
        <v>44165</v>
      </c>
      <c r="B103" s="162"/>
      <c r="C103" s="162"/>
      <c r="D103" s="1">
        <v>54160.3</v>
      </c>
      <c r="E103" s="162"/>
      <c r="F103" s="1">
        <f t="shared" si="14"/>
        <v>788.1</v>
      </c>
      <c r="H103" s="1">
        <f t="shared" si="13"/>
        <v>349981.47999999986</v>
      </c>
    </row>
    <row r="104" spans="1:8" x14ac:dyDescent="0.2">
      <c r="A104" s="6">
        <f>'FERC Interest Rates'!A105</f>
        <v>44196</v>
      </c>
      <c r="B104" s="162"/>
      <c r="C104" s="162"/>
      <c r="D104" s="1">
        <v>44903.98</v>
      </c>
      <c r="E104" s="174"/>
      <c r="F104" s="1">
        <f t="shared" si="14"/>
        <v>966.04</v>
      </c>
      <c r="H104" s="1">
        <f t="shared" si="13"/>
        <v>395851.49999999988</v>
      </c>
    </row>
    <row r="105" spans="1:8" x14ac:dyDescent="0.2">
      <c r="A105" s="6">
        <f>'FERC Interest Rates'!A106</f>
        <v>44227</v>
      </c>
      <c r="B105" s="162"/>
      <c r="C105" s="162"/>
      <c r="D105" s="1">
        <v>53749.26</v>
      </c>
      <c r="E105" s="174"/>
      <c r="F105" s="1">
        <f t="shared" ref="F105:F114" si="15">ROUND(H104*VLOOKUP(A105,FERCINT21,2)/365*VLOOKUP(A105,FERCINT21,3),2)</f>
        <v>1092.6600000000001</v>
      </c>
      <c r="H105" s="1">
        <f t="shared" si="13"/>
        <v>450693.41999999987</v>
      </c>
    </row>
    <row r="106" spans="1:8" x14ac:dyDescent="0.2">
      <c r="A106" s="6">
        <f>'FERC Interest Rates'!A107</f>
        <v>44255</v>
      </c>
      <c r="B106" s="162"/>
      <c r="C106" s="162"/>
      <c r="D106" s="1">
        <v>68773.86</v>
      </c>
      <c r="E106" s="162"/>
      <c r="F106" s="1">
        <f t="shared" si="15"/>
        <v>1123.6500000000001</v>
      </c>
      <c r="H106" s="1">
        <f t="shared" si="13"/>
        <v>520590.92999999988</v>
      </c>
    </row>
    <row r="107" spans="1:8" x14ac:dyDescent="0.2">
      <c r="A107" s="6">
        <f>'FERC Interest Rates'!A108</f>
        <v>44286</v>
      </c>
      <c r="B107" s="162"/>
      <c r="C107" s="162"/>
      <c r="D107" s="1">
        <v>111603.5</v>
      </c>
      <c r="E107" s="162"/>
      <c r="F107" s="1">
        <f t="shared" si="15"/>
        <v>1436.97</v>
      </c>
      <c r="H107" s="1">
        <f t="shared" si="13"/>
        <v>633631.39999999991</v>
      </c>
    </row>
    <row r="108" spans="1:8" x14ac:dyDescent="0.2">
      <c r="A108" s="6">
        <f>'FERC Interest Rates'!A109</f>
        <v>44316</v>
      </c>
      <c r="B108" s="162"/>
      <c r="C108" s="162"/>
      <c r="D108" s="1">
        <v>23800</v>
      </c>
      <c r="E108" s="162"/>
      <c r="F108" s="1">
        <f t="shared" si="15"/>
        <v>1692.58</v>
      </c>
      <c r="H108" s="1">
        <f t="shared" si="13"/>
        <v>659123.97999999986</v>
      </c>
    </row>
    <row r="109" spans="1:8" x14ac:dyDescent="0.2">
      <c r="A109" s="6">
        <f>'FERC Interest Rates'!A110</f>
        <v>44347</v>
      </c>
      <c r="B109" s="162"/>
      <c r="C109" s="162"/>
      <c r="D109" s="1">
        <v>26870.75</v>
      </c>
      <c r="E109" s="174"/>
      <c r="F109" s="1">
        <f t="shared" si="15"/>
        <v>1819.36</v>
      </c>
      <c r="H109" s="1">
        <f t="shared" si="13"/>
        <v>687814.08999999985</v>
      </c>
    </row>
    <row r="110" spans="1:8" x14ac:dyDescent="0.2">
      <c r="A110" s="6">
        <f>'FERC Interest Rates'!A111</f>
        <v>44377</v>
      </c>
      <c r="B110" s="162"/>
      <c r="C110" s="162"/>
      <c r="D110" s="1">
        <v>213390.44</v>
      </c>
      <c r="E110" s="174"/>
      <c r="F110" s="1">
        <f t="shared" si="15"/>
        <v>1837.31</v>
      </c>
      <c r="H110" s="1">
        <f t="shared" si="13"/>
        <v>903041.83999999985</v>
      </c>
    </row>
    <row r="111" spans="1:8" x14ac:dyDescent="0.2">
      <c r="A111" s="6">
        <f>'FERC Interest Rates'!A112</f>
        <v>44408</v>
      </c>
      <c r="B111" s="162"/>
      <c r="C111" s="162"/>
      <c r="D111" s="1">
        <v>72728</v>
      </c>
      <c r="E111" s="162"/>
      <c r="F111" s="1">
        <f t="shared" si="15"/>
        <v>2492.64</v>
      </c>
      <c r="H111" s="1">
        <f t="shared" si="13"/>
        <v>978262.47999999986</v>
      </c>
    </row>
    <row r="112" spans="1:8" x14ac:dyDescent="0.2">
      <c r="A112" s="6">
        <f>'FERC Interest Rates'!A113</f>
        <v>44439</v>
      </c>
      <c r="B112" s="162"/>
      <c r="C112" s="162"/>
      <c r="D112" s="1">
        <v>59046.35</v>
      </c>
      <c r="E112" s="162"/>
      <c r="F112" s="1">
        <f t="shared" si="15"/>
        <v>2700.27</v>
      </c>
      <c r="H112" s="1">
        <f t="shared" si="13"/>
        <v>1040009.0999999999</v>
      </c>
    </row>
    <row r="113" spans="1:8" x14ac:dyDescent="0.2">
      <c r="A113" s="6">
        <f>'FERC Interest Rates'!A114</f>
        <v>44469</v>
      </c>
      <c r="B113" s="162"/>
      <c r="C113" s="162"/>
      <c r="D113" s="1">
        <v>91608</v>
      </c>
      <c r="E113" s="162"/>
      <c r="F113" s="1">
        <f t="shared" si="15"/>
        <v>2778.11</v>
      </c>
      <c r="H113" s="1">
        <f t="shared" si="13"/>
        <v>1134395.21</v>
      </c>
    </row>
    <row r="114" spans="1:8" x14ac:dyDescent="0.2">
      <c r="A114" s="6">
        <f>'FERC Interest Rates'!A115</f>
        <v>44500</v>
      </c>
      <c r="B114" s="162"/>
      <c r="C114" s="162"/>
      <c r="D114" s="1">
        <v>178575.05</v>
      </c>
      <c r="E114" s="162"/>
      <c r="F114" s="1">
        <f t="shared" si="15"/>
        <v>3131.24</v>
      </c>
      <c r="H114" s="1">
        <f t="shared" si="13"/>
        <v>1316101.5</v>
      </c>
    </row>
    <row r="115" spans="1:8" x14ac:dyDescent="0.2">
      <c r="A115" s="528" t="s">
        <v>101</v>
      </c>
      <c r="B115" s="528"/>
      <c r="C115" s="528"/>
      <c r="D115" s="528"/>
      <c r="E115" s="528"/>
      <c r="F115" s="528"/>
      <c r="G115" s="146">
        <v>-986298.09</v>
      </c>
      <c r="H115" s="1">
        <f t="shared" ref="H115:H118" si="16">+SUM(D115:G115)+H114</f>
        <v>329803.41000000003</v>
      </c>
    </row>
    <row r="116" spans="1:8" x14ac:dyDescent="0.2">
      <c r="A116" s="6">
        <f>'FERC Interest Rates'!A116</f>
        <v>44530</v>
      </c>
      <c r="B116" s="162"/>
      <c r="C116" s="162"/>
      <c r="D116" s="1">
        <v>94602</v>
      </c>
      <c r="E116" s="162"/>
      <c r="F116" s="1">
        <f t="shared" ref="F116:F117" si="17">ROUND(H115*VLOOKUP(A116,FERCINT21,2)/365*VLOOKUP(A116,FERCINT21,3),2)</f>
        <v>880.98</v>
      </c>
      <c r="H116" s="1">
        <f t="shared" si="16"/>
        <v>425286.39</v>
      </c>
    </row>
    <row r="117" spans="1:8" x14ac:dyDescent="0.2">
      <c r="A117" s="6">
        <f>'FERC Interest Rates'!A117</f>
        <v>44561</v>
      </c>
      <c r="B117" s="162"/>
      <c r="C117" s="162"/>
      <c r="D117" s="1">
        <v>763840.5</v>
      </c>
      <c r="E117" s="162"/>
      <c r="F117" s="1">
        <f t="shared" si="17"/>
        <v>1173.9100000000001</v>
      </c>
      <c r="H117" s="1">
        <f t="shared" si="16"/>
        <v>1190300.8</v>
      </c>
    </row>
    <row r="118" spans="1:8" x14ac:dyDescent="0.2">
      <c r="A118" s="6">
        <f>'FERC Interest Rates'!A118</f>
        <v>44592</v>
      </c>
      <c r="B118" s="162"/>
      <c r="C118" s="162"/>
      <c r="D118" s="1">
        <v>69344.740000000005</v>
      </c>
      <c r="E118" s="162"/>
      <c r="F118" s="1">
        <f t="shared" ref="F118:F123" si="18">ROUND(H117*VLOOKUP(A118,FERCINT22,2)/365*VLOOKUP(A118,FERCINT22,3),2)</f>
        <v>3285.56</v>
      </c>
      <c r="H118" s="1">
        <f t="shared" si="16"/>
        <v>1262931.1000000001</v>
      </c>
    </row>
    <row r="119" spans="1:8" x14ac:dyDescent="0.2">
      <c r="A119" s="6">
        <f>'FERC Interest Rates'!A119</f>
        <v>44620</v>
      </c>
      <c r="B119" s="162"/>
      <c r="C119" s="162"/>
      <c r="D119" s="1">
        <v>30142.2</v>
      </c>
      <c r="E119" s="162"/>
      <c r="F119" s="1">
        <f t="shared" si="18"/>
        <v>3148.68</v>
      </c>
      <c r="H119" s="1">
        <f t="shared" ref="H119:H123" si="19">+SUM(D119:G119)+H118</f>
        <v>1296221.98</v>
      </c>
    </row>
    <row r="120" spans="1:8" x14ac:dyDescent="0.2">
      <c r="A120" s="6">
        <f>'FERC Interest Rates'!A120</f>
        <v>44651</v>
      </c>
      <c r="B120" s="162"/>
      <c r="C120" s="162"/>
      <c r="D120" s="1">
        <v>2364</v>
      </c>
      <c r="E120" s="162"/>
      <c r="F120" s="1">
        <f t="shared" si="18"/>
        <v>3577.93</v>
      </c>
      <c r="H120" s="1">
        <f t="shared" si="19"/>
        <v>1302163.9099999999</v>
      </c>
    </row>
    <row r="121" spans="1:8" x14ac:dyDescent="0.2">
      <c r="A121" s="6">
        <f>'FERC Interest Rates'!A121</f>
        <v>44681</v>
      </c>
      <c r="B121" s="162"/>
      <c r="C121" s="162"/>
      <c r="D121" s="1">
        <v>37963</v>
      </c>
      <c r="E121" s="162"/>
      <c r="F121" s="1">
        <f t="shared" si="18"/>
        <v>3478.38</v>
      </c>
      <c r="H121" s="1">
        <f t="shared" si="19"/>
        <v>1343605.2899999998</v>
      </c>
    </row>
    <row r="122" spans="1:8" x14ac:dyDescent="0.2">
      <c r="A122" s="6">
        <f>'FERC Interest Rates'!A122</f>
        <v>44712</v>
      </c>
      <c r="B122" s="162"/>
      <c r="C122" s="162"/>
      <c r="D122" s="1">
        <v>74483</v>
      </c>
      <c r="E122" s="162"/>
      <c r="F122" s="1">
        <f t="shared" si="18"/>
        <v>3708.72</v>
      </c>
      <c r="H122" s="1">
        <f t="shared" si="19"/>
        <v>1421797.0099999998</v>
      </c>
    </row>
    <row r="123" spans="1:8" x14ac:dyDescent="0.2">
      <c r="A123" s="6">
        <f>'FERC Interest Rates'!A123</f>
        <v>44742</v>
      </c>
      <c r="B123" s="162"/>
      <c r="C123" s="162"/>
      <c r="D123" s="1">
        <v>51572.75</v>
      </c>
      <c r="E123" s="162"/>
      <c r="F123" s="1">
        <f t="shared" si="18"/>
        <v>3797.95</v>
      </c>
      <c r="H123" s="1">
        <f t="shared" si="19"/>
        <v>1477167.7099999997</v>
      </c>
    </row>
  </sheetData>
  <mergeCells count="24">
    <mergeCell ref="A115:F115"/>
    <mergeCell ref="A102:F102"/>
    <mergeCell ref="A89:F89"/>
    <mergeCell ref="C5:H5"/>
    <mergeCell ref="C6:H6"/>
    <mergeCell ref="A6:B6"/>
    <mergeCell ref="A7:B7"/>
    <mergeCell ref="A76:F76"/>
    <mergeCell ref="A63:F63"/>
    <mergeCell ref="A50:F50"/>
    <mergeCell ref="A38:F38"/>
    <mergeCell ref="D9:F9"/>
    <mergeCell ref="A24:F24"/>
    <mergeCell ref="A11:G11"/>
    <mergeCell ref="C1:H1"/>
    <mergeCell ref="C7:H7"/>
    <mergeCell ref="A1:B1"/>
    <mergeCell ref="A2:B2"/>
    <mergeCell ref="A3:B3"/>
    <mergeCell ref="A4:B4"/>
    <mergeCell ref="A5:B5"/>
    <mergeCell ref="C2:H2"/>
    <mergeCell ref="C3:H3"/>
    <mergeCell ref="C4:H4"/>
  </mergeCells>
  <phoneticPr fontId="0" type="noConversion"/>
  <printOptions horizontalCentered="1"/>
  <pageMargins left="0.5" right="0.25" top="0.5" bottom="0.25" header="0.3" footer="0.3"/>
  <pageSetup scale="89" orientation="portrait" r:id="rId1"/>
  <headerFooter>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3"/>
  <sheetViews>
    <sheetView view="pageBreakPreview" zoomScale="75" zoomScaleNormal="75" zoomScaleSheetLayoutView="75" workbookViewId="0">
      <pane xSplit="1" ySplit="10" topLeftCell="B98" activePane="bottomRight" state="frozen"/>
      <selection activeCell="H129" sqref="H129"/>
      <selection pane="topRight" activeCell="H129" sqref="H129"/>
      <selection pane="bottomLeft" activeCell="H129" sqref="H129"/>
      <selection pane="bottomRight" activeCell="H123" sqref="H123"/>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16384" width="8.88671875" style="1"/>
  </cols>
  <sheetData>
    <row r="1" spans="1:8" x14ac:dyDescent="0.2">
      <c r="A1" s="548" t="s">
        <v>13</v>
      </c>
      <c r="B1" s="549"/>
      <c r="C1" s="562" t="s">
        <v>14</v>
      </c>
      <c r="D1" s="562"/>
      <c r="E1" s="562"/>
      <c r="F1" s="562"/>
      <c r="G1" s="562"/>
      <c r="H1" s="563"/>
    </row>
    <row r="2" spans="1:8" x14ac:dyDescent="0.2">
      <c r="A2" s="541" t="s">
        <v>16</v>
      </c>
      <c r="B2" s="533"/>
      <c r="C2" s="534" t="s">
        <v>49</v>
      </c>
      <c r="D2" s="534"/>
      <c r="E2" s="534"/>
      <c r="F2" s="534"/>
      <c r="G2" s="534"/>
      <c r="H2" s="538"/>
    </row>
    <row r="3" spans="1:8" x14ac:dyDescent="0.2">
      <c r="A3" s="541" t="s">
        <v>17</v>
      </c>
      <c r="B3" s="533"/>
      <c r="C3" s="534" t="s">
        <v>120</v>
      </c>
      <c r="D3" s="534"/>
      <c r="E3" s="534"/>
      <c r="F3" s="534"/>
      <c r="G3" s="534"/>
      <c r="H3" s="538"/>
    </row>
    <row r="4" spans="1:8" x14ac:dyDescent="0.2">
      <c r="A4" s="541" t="s">
        <v>18</v>
      </c>
      <c r="B4" s="533"/>
      <c r="C4" s="550" t="s">
        <v>19</v>
      </c>
      <c r="D4" s="550"/>
      <c r="E4" s="550"/>
      <c r="F4" s="550"/>
      <c r="G4" s="550"/>
      <c r="H4" s="551"/>
    </row>
    <row r="5" spans="1:8" x14ac:dyDescent="0.2">
      <c r="A5" s="541" t="s">
        <v>20</v>
      </c>
      <c r="B5" s="533"/>
      <c r="C5" s="534" t="s">
        <v>180</v>
      </c>
      <c r="D5" s="534"/>
      <c r="E5" s="534"/>
      <c r="F5" s="534"/>
      <c r="G5" s="534"/>
      <c r="H5" s="538"/>
    </row>
    <row r="6" spans="1:8" x14ac:dyDescent="0.2">
      <c r="A6" s="541" t="s">
        <v>21</v>
      </c>
      <c r="B6" s="533"/>
      <c r="C6" s="534" t="s">
        <v>68</v>
      </c>
      <c r="D6" s="534"/>
      <c r="E6" s="534"/>
      <c r="F6" s="534"/>
      <c r="G6" s="534"/>
      <c r="H6" s="538"/>
    </row>
    <row r="7" spans="1:8" ht="13.5" thickBot="1" x14ac:dyDescent="0.25">
      <c r="A7" s="542" t="s">
        <v>22</v>
      </c>
      <c r="B7" s="543"/>
      <c r="C7" s="544" t="s">
        <v>47</v>
      </c>
      <c r="D7" s="544"/>
      <c r="E7" s="544"/>
      <c r="F7" s="544"/>
      <c r="G7" s="544"/>
      <c r="H7" s="545"/>
    </row>
    <row r="8" spans="1:8" x14ac:dyDescent="0.2">
      <c r="A8" s="2"/>
      <c r="B8" s="2"/>
      <c r="C8" s="3"/>
      <c r="D8" s="3"/>
      <c r="E8" s="3"/>
      <c r="F8" s="3"/>
      <c r="G8" s="3"/>
      <c r="H8" s="3"/>
    </row>
    <row r="9" spans="1:8" x14ac:dyDescent="0.2">
      <c r="A9" s="4"/>
      <c r="D9" s="529" t="s">
        <v>38</v>
      </c>
      <c r="E9" s="529"/>
      <c r="F9" s="529"/>
    </row>
    <row r="10" spans="1:8" s="5" customFormat="1" ht="27.75" customHeight="1" x14ac:dyDescent="0.2">
      <c r="A10" s="5" t="s">
        <v>39</v>
      </c>
      <c r="B10" s="5" t="s">
        <v>4</v>
      </c>
      <c r="C10" s="5" t="s">
        <v>12</v>
      </c>
      <c r="D10" s="5" t="s">
        <v>23</v>
      </c>
      <c r="E10" s="5" t="s">
        <v>24</v>
      </c>
      <c r="F10" s="5" t="s">
        <v>2</v>
      </c>
      <c r="G10" s="5" t="s">
        <v>0</v>
      </c>
      <c r="H10" s="5" t="s">
        <v>1</v>
      </c>
    </row>
    <row r="11" spans="1:8" hidden="1" x14ac:dyDescent="0.2">
      <c r="A11" s="527" t="s">
        <v>80</v>
      </c>
      <c r="B11" s="527"/>
      <c r="C11" s="527"/>
      <c r="D11" s="527"/>
      <c r="E11" s="527"/>
      <c r="F11" s="527"/>
      <c r="G11" s="527"/>
      <c r="H11" s="1">
        <v>34127.81</v>
      </c>
    </row>
    <row r="12" spans="1:8" hidden="1" x14ac:dyDescent="0.2">
      <c r="A12" s="6">
        <f>'FERC Interest Rates'!A20</f>
        <v>41608</v>
      </c>
      <c r="D12" s="1">
        <f>589.95+3436.51</f>
        <v>4026.46</v>
      </c>
      <c r="F12" s="1">
        <f t="shared" ref="F12:F13" si="0">ROUND(H11*VLOOKUP(A12,FERCINT13,2)/365*VLOOKUP(A12,FERCINT13,3),2)</f>
        <v>91.16</v>
      </c>
      <c r="H12" s="1">
        <f t="shared" ref="H12:H36" si="1">+SUM(D12:G12)+H11</f>
        <v>38245.43</v>
      </c>
    </row>
    <row r="13" spans="1:8" hidden="1" x14ac:dyDescent="0.2">
      <c r="A13" s="6">
        <f>'FERC Interest Rates'!A21</f>
        <v>41639</v>
      </c>
      <c r="D13" s="1">
        <v>3341.37</v>
      </c>
      <c r="F13" s="1">
        <f t="shared" si="0"/>
        <v>105.57</v>
      </c>
      <c r="H13" s="1">
        <f t="shared" si="1"/>
        <v>41692.370000000003</v>
      </c>
    </row>
    <row r="14" spans="1:8" hidden="1" x14ac:dyDescent="0.2">
      <c r="A14" s="6">
        <f>'FERC Interest Rates'!A22</f>
        <v>41670</v>
      </c>
      <c r="D14" s="1">
        <v>3500.93</v>
      </c>
      <c r="F14" s="1">
        <f t="shared" ref="F14:F23" si="2">ROUND(H13*VLOOKUP(A14,FERCINT14,2)/365*VLOOKUP(A14,FERCINT14,3),2)</f>
        <v>115.08</v>
      </c>
      <c r="H14" s="1">
        <f t="shared" si="1"/>
        <v>45308.380000000005</v>
      </c>
    </row>
    <row r="15" spans="1:8" hidden="1" x14ac:dyDescent="0.2">
      <c r="A15" s="6">
        <f>'FERC Interest Rates'!A23</f>
        <v>41698</v>
      </c>
      <c r="D15" s="1">
        <f>1228.81+2800.64+2907.85</f>
        <v>6937.2999999999993</v>
      </c>
      <c r="F15" s="1">
        <f t="shared" si="2"/>
        <v>112.96</v>
      </c>
      <c r="H15" s="1">
        <f t="shared" si="1"/>
        <v>52358.640000000007</v>
      </c>
    </row>
    <row r="16" spans="1:8" hidden="1" x14ac:dyDescent="0.2">
      <c r="A16" s="6">
        <f>'FERC Interest Rates'!A24</f>
        <v>41729</v>
      </c>
      <c r="D16" s="1">
        <f>5104.12+1781.99</f>
        <v>6886.11</v>
      </c>
      <c r="F16" s="1">
        <f t="shared" si="2"/>
        <v>144.52000000000001</v>
      </c>
      <c r="H16" s="1">
        <f t="shared" si="1"/>
        <v>59389.270000000004</v>
      </c>
    </row>
    <row r="17" spans="1:8" hidden="1" x14ac:dyDescent="0.2">
      <c r="A17" s="6">
        <f>'FERC Interest Rates'!A25</f>
        <v>41759</v>
      </c>
      <c r="D17" s="1">
        <v>5578.35</v>
      </c>
      <c r="F17" s="1">
        <f t="shared" si="2"/>
        <v>158.63999999999999</v>
      </c>
      <c r="H17" s="1">
        <f t="shared" si="1"/>
        <v>65126.26</v>
      </c>
    </row>
    <row r="18" spans="1:8" hidden="1" x14ac:dyDescent="0.2">
      <c r="A18" s="6">
        <f>'FERC Interest Rates'!A26</f>
        <v>41790</v>
      </c>
      <c r="D18" s="1">
        <v>0</v>
      </c>
      <c r="F18" s="1">
        <f t="shared" si="2"/>
        <v>179.77</v>
      </c>
      <c r="H18" s="1">
        <f t="shared" si="1"/>
        <v>65306.03</v>
      </c>
    </row>
    <row r="19" spans="1:8" hidden="1" x14ac:dyDescent="0.2">
      <c r="A19" s="6">
        <f>'FERC Interest Rates'!A27</f>
        <v>41820</v>
      </c>
      <c r="D19" s="1">
        <v>8188.42</v>
      </c>
      <c r="F19" s="1">
        <f t="shared" si="2"/>
        <v>174.45</v>
      </c>
      <c r="H19" s="1">
        <f t="shared" si="1"/>
        <v>73668.899999999994</v>
      </c>
    </row>
    <row r="20" spans="1:8" hidden="1" x14ac:dyDescent="0.2">
      <c r="A20" s="6">
        <f>'FERC Interest Rates'!A28</f>
        <v>41851</v>
      </c>
      <c r="D20" s="1">
        <v>0</v>
      </c>
      <c r="F20" s="1">
        <f t="shared" si="2"/>
        <v>203.35</v>
      </c>
      <c r="H20" s="1">
        <f t="shared" si="1"/>
        <v>73872.25</v>
      </c>
    </row>
    <row r="21" spans="1:8" hidden="1" x14ac:dyDescent="0.2">
      <c r="A21" s="6">
        <f>'FERC Interest Rates'!A29</f>
        <v>41882</v>
      </c>
      <c r="D21" s="1">
        <v>5733.28</v>
      </c>
      <c r="F21" s="1">
        <f t="shared" si="2"/>
        <v>203.91</v>
      </c>
      <c r="H21" s="1">
        <f t="shared" si="1"/>
        <v>79809.440000000002</v>
      </c>
    </row>
    <row r="22" spans="1:8" hidden="1" x14ac:dyDescent="0.2">
      <c r="A22" s="6">
        <f>'FERC Interest Rates'!A30</f>
        <v>41912</v>
      </c>
      <c r="D22" s="1">
        <v>0</v>
      </c>
      <c r="F22" s="1">
        <f t="shared" si="2"/>
        <v>213.19</v>
      </c>
      <c r="H22" s="1">
        <f t="shared" si="1"/>
        <v>80022.63</v>
      </c>
    </row>
    <row r="23" spans="1:8" hidden="1" x14ac:dyDescent="0.2">
      <c r="A23" s="6">
        <f>'FERC Interest Rates'!A31</f>
        <v>41943</v>
      </c>
      <c r="D23" s="1">
        <v>3220.1</v>
      </c>
      <c r="F23" s="1">
        <f t="shared" si="2"/>
        <v>220.88</v>
      </c>
      <c r="H23" s="1">
        <f t="shared" si="1"/>
        <v>83463.61</v>
      </c>
    </row>
    <row r="24" spans="1:8" hidden="1" x14ac:dyDescent="0.2">
      <c r="A24" s="528" t="s">
        <v>83</v>
      </c>
      <c r="B24" s="528"/>
      <c r="C24" s="528"/>
      <c r="D24" s="528"/>
      <c r="E24" s="528"/>
      <c r="F24" s="528"/>
      <c r="G24" s="1">
        <v>-74479.05</v>
      </c>
      <c r="H24" s="1">
        <f t="shared" si="1"/>
        <v>8984.5599999999977</v>
      </c>
    </row>
    <row r="25" spans="1:8" hidden="1" x14ac:dyDescent="0.2">
      <c r="A25" s="6">
        <f>'FERC Interest Rates'!A32</f>
        <v>41973</v>
      </c>
      <c r="D25" s="1">
        <v>11345.71</v>
      </c>
      <c r="F25" s="1">
        <f>ROUND(H24*VLOOKUP(A25,FERCINT14,2)/365*VLOOKUP(A25,FERCINT14,3),2)</f>
        <v>24</v>
      </c>
      <c r="H25" s="1">
        <f t="shared" si="1"/>
        <v>20354.269999999997</v>
      </c>
    </row>
    <row r="26" spans="1:8" hidden="1" x14ac:dyDescent="0.2">
      <c r="A26" s="6">
        <f>'FERC Interest Rates'!A33</f>
        <v>42004</v>
      </c>
      <c r="D26" s="1">
        <v>6484.81</v>
      </c>
      <c r="F26" s="1">
        <f>ROUND(H25*VLOOKUP(A26,FERCINT14,2)/365*VLOOKUP(A26,FERCINT14,3),2)</f>
        <v>56.18</v>
      </c>
      <c r="H26" s="1">
        <f t="shared" si="1"/>
        <v>26895.26</v>
      </c>
    </row>
    <row r="27" spans="1:8" hidden="1" x14ac:dyDescent="0.2">
      <c r="A27" s="6">
        <f>'FERC Interest Rates'!A34</f>
        <v>42035</v>
      </c>
      <c r="D27" s="1">
        <v>0</v>
      </c>
      <c r="F27" s="1">
        <f t="shared" ref="F27:F36" si="3">ROUND(H26*VLOOKUP(A27,FERCINT15,2)/365*VLOOKUP(A27,FERCINT15,3),2)</f>
        <v>74.239999999999995</v>
      </c>
      <c r="H27" s="1">
        <f t="shared" si="1"/>
        <v>26969.5</v>
      </c>
    </row>
    <row r="28" spans="1:8" hidden="1" x14ac:dyDescent="0.2">
      <c r="A28" s="6">
        <f>'FERC Interest Rates'!A35</f>
        <v>42063</v>
      </c>
      <c r="D28" s="1">
        <v>18744.09</v>
      </c>
      <c r="F28" s="1">
        <f t="shared" si="3"/>
        <v>67.239999999999995</v>
      </c>
      <c r="H28" s="1">
        <f t="shared" si="1"/>
        <v>45780.83</v>
      </c>
    </row>
    <row r="29" spans="1:8" hidden="1" x14ac:dyDescent="0.2">
      <c r="A29" s="6">
        <f>'FERC Interest Rates'!A36</f>
        <v>42094</v>
      </c>
      <c r="D29" s="1">
        <v>20706.11</v>
      </c>
      <c r="F29" s="1">
        <f t="shared" si="3"/>
        <v>126.37</v>
      </c>
      <c r="H29" s="1">
        <f t="shared" si="1"/>
        <v>66613.31</v>
      </c>
    </row>
    <row r="30" spans="1:8" hidden="1" x14ac:dyDescent="0.2">
      <c r="A30" s="6">
        <f>'FERC Interest Rates'!A37</f>
        <v>42124</v>
      </c>
      <c r="D30" s="1">
        <v>6730.61</v>
      </c>
      <c r="F30" s="1">
        <f t="shared" si="3"/>
        <v>177.94</v>
      </c>
      <c r="H30" s="1">
        <f t="shared" si="1"/>
        <v>73521.86</v>
      </c>
    </row>
    <row r="31" spans="1:8" hidden="1" x14ac:dyDescent="0.2">
      <c r="A31" s="6">
        <f>'FERC Interest Rates'!A38</f>
        <v>42155</v>
      </c>
      <c r="D31" s="1">
        <v>6090.9</v>
      </c>
      <c r="F31" s="1">
        <f t="shared" si="3"/>
        <v>202.94</v>
      </c>
      <c r="H31" s="1">
        <f t="shared" si="1"/>
        <v>79815.7</v>
      </c>
    </row>
    <row r="32" spans="1:8" hidden="1" x14ac:dyDescent="0.2">
      <c r="A32" s="6">
        <f>'FERC Interest Rates'!A39</f>
        <v>42185</v>
      </c>
      <c r="D32" s="1">
        <v>2164.98</v>
      </c>
      <c r="F32" s="1">
        <f t="shared" si="3"/>
        <v>213.21</v>
      </c>
      <c r="H32" s="1">
        <f t="shared" si="1"/>
        <v>82193.89</v>
      </c>
    </row>
    <row r="33" spans="1:8" hidden="1" x14ac:dyDescent="0.2">
      <c r="A33" s="6">
        <f>'FERC Interest Rates'!A40</f>
        <v>42216</v>
      </c>
      <c r="D33" s="1">
        <v>4424.8900000000003</v>
      </c>
      <c r="F33" s="1">
        <f t="shared" si="3"/>
        <v>226.88</v>
      </c>
      <c r="H33" s="1">
        <f t="shared" si="1"/>
        <v>86845.66</v>
      </c>
    </row>
    <row r="34" spans="1:8" hidden="1" x14ac:dyDescent="0.2">
      <c r="A34" s="6">
        <f>'FERC Interest Rates'!A41</f>
        <v>42247</v>
      </c>
      <c r="D34" s="1">
        <v>0</v>
      </c>
      <c r="F34" s="1">
        <f t="shared" si="3"/>
        <v>239.72</v>
      </c>
      <c r="H34" s="1">
        <f t="shared" si="1"/>
        <v>87085.38</v>
      </c>
    </row>
    <row r="35" spans="1:8" hidden="1" x14ac:dyDescent="0.2">
      <c r="A35" s="6">
        <f>'FERC Interest Rates'!A42</f>
        <v>42277</v>
      </c>
      <c r="D35" s="1">
        <v>0</v>
      </c>
      <c r="F35" s="1">
        <f t="shared" si="3"/>
        <v>232.63</v>
      </c>
      <c r="H35" s="1">
        <f t="shared" si="1"/>
        <v>87318.010000000009</v>
      </c>
    </row>
    <row r="36" spans="1:8" hidden="1" x14ac:dyDescent="0.2">
      <c r="A36" s="6">
        <f>'FERC Interest Rates'!A43</f>
        <v>42308</v>
      </c>
      <c r="D36" s="1">
        <v>25588.39</v>
      </c>
      <c r="F36" s="1">
        <f t="shared" si="3"/>
        <v>241.02</v>
      </c>
      <c r="H36" s="1">
        <f t="shared" si="1"/>
        <v>113147.42000000001</v>
      </c>
    </row>
    <row r="37" spans="1:8" hidden="1" x14ac:dyDescent="0.2">
      <c r="A37" s="6">
        <f>'FERC Interest Rates'!A44</f>
        <v>42338</v>
      </c>
      <c r="D37" s="1">
        <v>0</v>
      </c>
      <c r="F37" s="1">
        <f t="shared" ref="F37" si="4">ROUND(H36*VLOOKUP(A37,FERCINT15,2)/365*VLOOKUP(A37,FERCINT15,3),2)</f>
        <v>302.24</v>
      </c>
      <c r="H37" s="1">
        <f t="shared" ref="H37:H75" si="5">+SUM(D37:G37)+H36</f>
        <v>113449.66000000002</v>
      </c>
    </row>
    <row r="38" spans="1:8" hidden="1" x14ac:dyDescent="0.2">
      <c r="A38" s="528" t="s">
        <v>87</v>
      </c>
      <c r="B38" s="528"/>
      <c r="C38" s="528"/>
      <c r="D38" s="528"/>
      <c r="E38" s="528"/>
      <c r="F38" s="528"/>
      <c r="G38" s="1">
        <v>-87792.92</v>
      </c>
      <c r="H38" s="1">
        <f t="shared" si="5"/>
        <v>25656.74000000002</v>
      </c>
    </row>
    <row r="39" spans="1:8" hidden="1" x14ac:dyDescent="0.2">
      <c r="A39" s="6">
        <f>'FERC Interest Rates'!A45</f>
        <v>42369</v>
      </c>
      <c r="D39" s="1">
        <v>5078.8599999999997</v>
      </c>
      <c r="F39" s="1">
        <f>ROUND(H38*VLOOKUP(A39,FERCINT15,2)/365*VLOOKUP(A39,FERCINT15,3),2)</f>
        <v>70.819999999999993</v>
      </c>
      <c r="H39" s="1">
        <f t="shared" si="5"/>
        <v>30806.42000000002</v>
      </c>
    </row>
    <row r="40" spans="1:8" hidden="1" x14ac:dyDescent="0.2">
      <c r="A40" s="6">
        <f>'FERC Interest Rates'!A46</f>
        <v>42400</v>
      </c>
      <c r="D40" s="1">
        <v>8551.1299999999992</v>
      </c>
      <c r="F40" s="1">
        <f t="shared" ref="F40:F52" si="6">ROUND(H39*VLOOKUP(A40,FERCINT16,2)/365*VLOOKUP(A40,FERCINT16,3),2)</f>
        <v>85.03</v>
      </c>
      <c r="H40" s="1">
        <f t="shared" si="5"/>
        <v>39442.580000000016</v>
      </c>
    </row>
    <row r="41" spans="1:8" hidden="1" x14ac:dyDescent="0.2">
      <c r="A41" s="6">
        <f>'FERC Interest Rates'!A47</f>
        <v>42429</v>
      </c>
      <c r="D41" s="1">
        <v>3435.07</v>
      </c>
      <c r="F41" s="1">
        <f t="shared" si="6"/>
        <v>101.85</v>
      </c>
      <c r="H41" s="1">
        <f t="shared" si="5"/>
        <v>42979.500000000015</v>
      </c>
    </row>
    <row r="42" spans="1:8" hidden="1" x14ac:dyDescent="0.2">
      <c r="A42" s="6">
        <f>'FERC Interest Rates'!A48</f>
        <v>42460</v>
      </c>
      <c r="D42" s="1">
        <v>4412.76</v>
      </c>
      <c r="F42" s="1">
        <f t="shared" si="6"/>
        <v>118.64</v>
      </c>
      <c r="H42" s="1">
        <f t="shared" si="5"/>
        <v>47510.900000000016</v>
      </c>
    </row>
    <row r="43" spans="1:8" hidden="1" x14ac:dyDescent="0.2">
      <c r="A43" s="6">
        <f>'FERC Interest Rates'!A49</f>
        <v>42490</v>
      </c>
      <c r="D43" s="1">
        <v>25403.73</v>
      </c>
      <c r="F43" s="1">
        <f t="shared" si="6"/>
        <v>135.11000000000001</v>
      </c>
      <c r="H43" s="1">
        <f t="shared" si="5"/>
        <v>73049.74000000002</v>
      </c>
    </row>
    <row r="44" spans="1:8" hidden="1" x14ac:dyDescent="0.2">
      <c r="A44" s="6">
        <f>'FERC Interest Rates'!A50</f>
        <v>42521</v>
      </c>
      <c r="D44" s="1">
        <v>3688.79</v>
      </c>
      <c r="F44" s="1">
        <f t="shared" si="6"/>
        <v>214.67</v>
      </c>
      <c r="H44" s="1">
        <f t="shared" si="5"/>
        <v>76953.200000000026</v>
      </c>
    </row>
    <row r="45" spans="1:8" hidden="1" x14ac:dyDescent="0.2">
      <c r="A45" s="6">
        <f>'FERC Interest Rates'!A51</f>
        <v>42551</v>
      </c>
      <c r="D45" s="1">
        <v>0</v>
      </c>
      <c r="F45" s="1">
        <f t="shared" si="6"/>
        <v>218.84</v>
      </c>
      <c r="H45" s="1">
        <f t="shared" si="5"/>
        <v>77172.040000000023</v>
      </c>
    </row>
    <row r="46" spans="1:8" hidden="1" x14ac:dyDescent="0.2">
      <c r="A46" s="6">
        <f>'FERC Interest Rates'!A52</f>
        <v>42582</v>
      </c>
      <c r="D46" s="1">
        <f>1816.41+6474.96+4396.78</f>
        <v>12688.150000000001</v>
      </c>
      <c r="F46" s="1">
        <f t="shared" si="6"/>
        <v>229.4</v>
      </c>
      <c r="H46" s="1">
        <f t="shared" si="5"/>
        <v>90089.590000000026</v>
      </c>
    </row>
    <row r="47" spans="1:8" hidden="1" x14ac:dyDescent="0.2">
      <c r="A47" s="6">
        <f>'FERC Interest Rates'!A53</f>
        <v>42613</v>
      </c>
      <c r="D47" s="1">
        <v>3099.7</v>
      </c>
      <c r="F47" s="1">
        <f t="shared" si="6"/>
        <v>267.8</v>
      </c>
      <c r="H47" s="1">
        <f t="shared" si="5"/>
        <v>93457.090000000026</v>
      </c>
    </row>
    <row r="48" spans="1:8" hidden="1" x14ac:dyDescent="0.2">
      <c r="A48" s="6">
        <f>'FERC Interest Rates'!A54</f>
        <v>42643</v>
      </c>
      <c r="D48" s="1">
        <f>2502.49+4807.17</f>
        <v>7309.66</v>
      </c>
      <c r="F48" s="1">
        <f t="shared" si="6"/>
        <v>268.85000000000002</v>
      </c>
      <c r="H48" s="1">
        <f t="shared" si="5"/>
        <v>101035.60000000002</v>
      </c>
    </row>
    <row r="49" spans="1:8" hidden="1" x14ac:dyDescent="0.2">
      <c r="A49" s="6">
        <f>'FERC Interest Rates'!A55</f>
        <v>42674</v>
      </c>
      <c r="D49" s="1">
        <v>0</v>
      </c>
      <c r="F49" s="1">
        <f t="shared" si="6"/>
        <v>300.33999999999997</v>
      </c>
      <c r="H49" s="1">
        <f t="shared" si="5"/>
        <v>101335.94000000002</v>
      </c>
    </row>
    <row r="50" spans="1:8" hidden="1" x14ac:dyDescent="0.2">
      <c r="A50" s="528" t="s">
        <v>101</v>
      </c>
      <c r="B50" s="528"/>
      <c r="C50" s="528"/>
      <c r="D50" s="528"/>
      <c r="E50" s="528"/>
      <c r="F50" s="528"/>
      <c r="G50" s="1">
        <v>-90886.69</v>
      </c>
      <c r="H50" s="1">
        <f t="shared" si="5"/>
        <v>10449.250000000015</v>
      </c>
    </row>
    <row r="51" spans="1:8" hidden="1" x14ac:dyDescent="0.2">
      <c r="A51" s="6">
        <f>'FERC Interest Rates'!A56</f>
        <v>42704</v>
      </c>
      <c r="D51" s="1">
        <v>9221.16</v>
      </c>
      <c r="F51" s="1">
        <f t="shared" si="6"/>
        <v>30.06</v>
      </c>
      <c r="H51" s="1">
        <f t="shared" si="5"/>
        <v>19700.470000000016</v>
      </c>
    </row>
    <row r="52" spans="1:8" hidden="1" x14ac:dyDescent="0.2">
      <c r="A52" s="6">
        <f>'FERC Interest Rates'!A57</f>
        <v>42735</v>
      </c>
      <c r="D52" s="1">
        <f>4780.4+649.65+4137.84</f>
        <v>9567.89</v>
      </c>
      <c r="F52" s="1">
        <f t="shared" si="6"/>
        <v>58.56</v>
      </c>
      <c r="H52" s="1">
        <f t="shared" si="5"/>
        <v>29326.920000000013</v>
      </c>
    </row>
    <row r="53" spans="1:8" hidden="1" x14ac:dyDescent="0.2">
      <c r="A53" s="6">
        <f>'FERC Interest Rates'!A58</f>
        <v>42766</v>
      </c>
      <c r="D53" s="1">
        <v>0</v>
      </c>
      <c r="F53" s="1">
        <f t="shared" ref="F53:F62" si="7">ROUND(H52*VLOOKUP(A53,FERCINT17,2)/365*VLOOKUP(A53,FERCINT17,3),2)</f>
        <v>87.18</v>
      </c>
      <c r="H53" s="1">
        <f t="shared" si="5"/>
        <v>29414.100000000013</v>
      </c>
    </row>
    <row r="54" spans="1:8" hidden="1" x14ac:dyDescent="0.2">
      <c r="A54" s="6">
        <f>'FERC Interest Rates'!A59</f>
        <v>42794</v>
      </c>
      <c r="D54" s="1">
        <v>0</v>
      </c>
      <c r="F54" s="1">
        <f t="shared" si="7"/>
        <v>78.97</v>
      </c>
      <c r="H54" s="1">
        <f t="shared" si="5"/>
        <v>29493.070000000014</v>
      </c>
    </row>
    <row r="55" spans="1:8" hidden="1" x14ac:dyDescent="0.2">
      <c r="A55" s="6">
        <f>'FERC Interest Rates'!A60</f>
        <v>42825</v>
      </c>
      <c r="D55" s="1">
        <f>6290.27+10000</f>
        <v>16290.27</v>
      </c>
      <c r="F55" s="1">
        <f t="shared" si="7"/>
        <v>87.67</v>
      </c>
      <c r="H55" s="1">
        <f t="shared" si="5"/>
        <v>45871.010000000017</v>
      </c>
    </row>
    <row r="56" spans="1:8" hidden="1" x14ac:dyDescent="0.2">
      <c r="A56" s="6">
        <f>'FERC Interest Rates'!A61</f>
        <v>42855</v>
      </c>
      <c r="D56" s="1">
        <f>7252.13+20000</f>
        <v>27252.13</v>
      </c>
      <c r="F56" s="1">
        <f t="shared" si="7"/>
        <v>139.88</v>
      </c>
      <c r="H56" s="1">
        <f t="shared" si="5"/>
        <v>73263.020000000019</v>
      </c>
    </row>
    <row r="57" spans="1:8" hidden="1" x14ac:dyDescent="0.2">
      <c r="A57" s="6">
        <f>'FERC Interest Rates'!A62</f>
        <v>42886</v>
      </c>
      <c r="D57" s="1">
        <v>0</v>
      </c>
      <c r="F57" s="1">
        <f t="shared" si="7"/>
        <v>230.85</v>
      </c>
      <c r="H57" s="1">
        <f t="shared" si="5"/>
        <v>73493.870000000024</v>
      </c>
    </row>
    <row r="58" spans="1:8" hidden="1" x14ac:dyDescent="0.2">
      <c r="A58" s="6">
        <f>'FERC Interest Rates'!A63</f>
        <v>42916</v>
      </c>
      <c r="D58" s="1">
        <f>5163.92+10000</f>
        <v>15163.92</v>
      </c>
      <c r="F58" s="1">
        <f t="shared" si="7"/>
        <v>224.11</v>
      </c>
      <c r="H58" s="1">
        <f t="shared" si="5"/>
        <v>88881.900000000023</v>
      </c>
    </row>
    <row r="59" spans="1:8" hidden="1" x14ac:dyDescent="0.2">
      <c r="A59" s="6">
        <f>'FERC Interest Rates'!A64</f>
        <v>42947</v>
      </c>
      <c r="D59" s="1">
        <v>4007</v>
      </c>
      <c r="F59" s="1">
        <f t="shared" si="7"/>
        <v>298.94</v>
      </c>
      <c r="H59" s="1">
        <f t="shared" si="5"/>
        <v>93187.840000000026</v>
      </c>
    </row>
    <row r="60" spans="1:8" hidden="1" x14ac:dyDescent="0.2">
      <c r="A60" s="6">
        <f>'FERC Interest Rates'!A65</f>
        <v>42978</v>
      </c>
      <c r="D60" s="1">
        <f>38847.79-313.42</f>
        <v>38534.370000000003</v>
      </c>
      <c r="F60" s="1">
        <f t="shared" si="7"/>
        <v>313.42</v>
      </c>
      <c r="H60" s="1">
        <f t="shared" si="5"/>
        <v>132035.63000000003</v>
      </c>
    </row>
    <row r="61" spans="1:8" hidden="1" x14ac:dyDescent="0.2">
      <c r="A61" s="6">
        <f>'FERC Interest Rates'!A66</f>
        <v>43008</v>
      </c>
      <c r="D61" s="1">
        <v>4967</v>
      </c>
      <c r="F61" s="1">
        <f t="shared" si="7"/>
        <v>429.75</v>
      </c>
      <c r="H61" s="1">
        <f t="shared" si="5"/>
        <v>137432.38000000003</v>
      </c>
    </row>
    <row r="62" spans="1:8" hidden="1" x14ac:dyDescent="0.2">
      <c r="A62" s="6">
        <f>'FERC Interest Rates'!A67</f>
        <v>43039</v>
      </c>
      <c r="D62" s="1">
        <f>23744.38-491.41</f>
        <v>23252.97</v>
      </c>
      <c r="F62" s="1">
        <f t="shared" si="7"/>
        <v>491.41</v>
      </c>
      <c r="H62" s="1">
        <f t="shared" si="5"/>
        <v>161176.76000000004</v>
      </c>
    </row>
    <row r="63" spans="1:8" hidden="1" x14ac:dyDescent="0.2">
      <c r="A63" s="528" t="s">
        <v>101</v>
      </c>
      <c r="B63" s="528"/>
      <c r="C63" s="528"/>
      <c r="D63" s="528"/>
      <c r="E63" s="528"/>
      <c r="F63" s="528"/>
      <c r="G63" s="1">
        <v>-94141</v>
      </c>
      <c r="H63" s="1">
        <f t="shared" si="5"/>
        <v>67035.760000000038</v>
      </c>
    </row>
    <row r="64" spans="1:8" hidden="1" x14ac:dyDescent="0.2">
      <c r="A64" s="6">
        <f>'FERC Interest Rates'!A68</f>
        <v>43069</v>
      </c>
      <c r="D64" s="1">
        <f>28158.1-231.96</f>
        <v>27926.14</v>
      </c>
      <c r="F64" s="1">
        <f>ROUND(H63*VLOOKUP(A64,FERCINT17,2)/365*VLOOKUP(A64,FERCINT17,3),2)</f>
        <v>231.96</v>
      </c>
      <c r="H64" s="1">
        <f t="shared" si="5"/>
        <v>95193.860000000044</v>
      </c>
    </row>
    <row r="65" spans="1:8" hidden="1" x14ac:dyDescent="0.2">
      <c r="A65" s="6">
        <f>'FERC Interest Rates'!A69</f>
        <v>43100</v>
      </c>
      <c r="D65" s="1">
        <f>18785.63-340.38</f>
        <v>18445.25</v>
      </c>
      <c r="F65" s="1">
        <f>ROUND(H64*VLOOKUP(A65,FERCINT17,2)/365*VLOOKUP(A65,FERCINT17,3),2)</f>
        <v>340.38</v>
      </c>
      <c r="H65" s="1">
        <f t="shared" si="5"/>
        <v>113979.49000000005</v>
      </c>
    </row>
    <row r="66" spans="1:8" hidden="1" x14ac:dyDescent="0.2">
      <c r="A66" s="6">
        <f>'FERC Interest Rates'!A70</f>
        <v>43131</v>
      </c>
      <c r="D66" s="1">
        <v>6893.54</v>
      </c>
      <c r="F66" s="1">
        <f t="shared" ref="F66:F78" si="8">ROUND(H65*VLOOKUP(A66,FERCINT18,2)/365*VLOOKUP(A66,FERCINT18,3),2)</f>
        <v>411.42</v>
      </c>
      <c r="H66" s="1">
        <f t="shared" si="5"/>
        <v>121284.45000000006</v>
      </c>
    </row>
    <row r="67" spans="1:8" hidden="1" x14ac:dyDescent="0.2">
      <c r="A67" s="6">
        <f>'FERC Interest Rates'!A71</f>
        <v>43159</v>
      </c>
      <c r="D67" s="1">
        <v>37090.82</v>
      </c>
      <c r="F67" s="1">
        <f t="shared" si="8"/>
        <v>395.42</v>
      </c>
      <c r="H67" s="1">
        <f t="shared" si="5"/>
        <v>158770.69000000006</v>
      </c>
    </row>
    <row r="68" spans="1:8" hidden="1" x14ac:dyDescent="0.2">
      <c r="A68" s="6">
        <f>'FERC Interest Rates'!A72</f>
        <v>43190</v>
      </c>
      <c r="D68" s="1">
        <v>12947.9</v>
      </c>
      <c r="F68" s="1">
        <f t="shared" si="8"/>
        <v>573.1</v>
      </c>
      <c r="H68" s="1">
        <f t="shared" si="5"/>
        <v>172291.69000000006</v>
      </c>
    </row>
    <row r="69" spans="1:8" hidden="1" x14ac:dyDescent="0.2">
      <c r="A69" s="6">
        <f>'FERC Interest Rates'!A73</f>
        <v>43220</v>
      </c>
      <c r="D69" s="1">
        <v>19987.78</v>
      </c>
      <c r="F69" s="1">
        <f t="shared" si="8"/>
        <v>632.99</v>
      </c>
      <c r="H69" s="1">
        <f t="shared" si="5"/>
        <v>192912.46000000005</v>
      </c>
    </row>
    <row r="70" spans="1:8" hidden="1" x14ac:dyDescent="0.2">
      <c r="A70" s="6">
        <f>'FERC Interest Rates'!A74</f>
        <v>43251</v>
      </c>
      <c r="D70" s="1">
        <v>42373.93</v>
      </c>
      <c r="F70" s="1">
        <f t="shared" si="8"/>
        <v>732.38</v>
      </c>
      <c r="H70" s="1">
        <f t="shared" si="5"/>
        <v>236018.77000000005</v>
      </c>
    </row>
    <row r="71" spans="1:8" hidden="1" x14ac:dyDescent="0.2">
      <c r="A71" s="6">
        <f>'FERC Interest Rates'!A75</f>
        <v>43281</v>
      </c>
      <c r="D71" s="1">
        <v>12874.36</v>
      </c>
      <c r="F71" s="1">
        <f t="shared" si="8"/>
        <v>867.13</v>
      </c>
      <c r="H71" s="1">
        <f t="shared" si="5"/>
        <v>249760.26000000004</v>
      </c>
    </row>
    <row r="72" spans="1:8" hidden="1" x14ac:dyDescent="0.2">
      <c r="A72" s="6">
        <f>'FERC Interest Rates'!A76</f>
        <v>43312</v>
      </c>
      <c r="D72" s="1">
        <v>4041.26</v>
      </c>
      <c r="F72" s="1">
        <f t="shared" si="8"/>
        <v>994.87</v>
      </c>
      <c r="H72" s="1">
        <f t="shared" si="5"/>
        <v>254796.39000000004</v>
      </c>
    </row>
    <row r="73" spans="1:8" hidden="1" x14ac:dyDescent="0.2">
      <c r="A73" s="6">
        <f>'FERC Interest Rates'!A77</f>
        <v>43343</v>
      </c>
      <c r="D73" s="1">
        <v>0</v>
      </c>
      <c r="F73" s="1">
        <f t="shared" si="8"/>
        <v>1014.93</v>
      </c>
      <c r="H73" s="1">
        <f t="shared" si="5"/>
        <v>255811.32000000004</v>
      </c>
    </row>
    <row r="74" spans="1:8" hidden="1" x14ac:dyDescent="0.2">
      <c r="A74" s="6">
        <f>'FERC Interest Rates'!A78</f>
        <v>43373</v>
      </c>
      <c r="D74" s="1">
        <v>22272.44</v>
      </c>
      <c r="F74" s="1">
        <f t="shared" si="8"/>
        <v>986.1</v>
      </c>
      <c r="H74" s="1">
        <f t="shared" si="5"/>
        <v>279069.86000000004</v>
      </c>
    </row>
    <row r="75" spans="1:8" hidden="1" x14ac:dyDescent="0.2">
      <c r="A75" s="6">
        <f>'FERC Interest Rates'!A79</f>
        <v>43404</v>
      </c>
      <c r="D75" s="1">
        <v>17998.2</v>
      </c>
      <c r="F75" s="1">
        <f t="shared" si="8"/>
        <v>1175.6099999999999</v>
      </c>
      <c r="H75" s="1">
        <f t="shared" si="5"/>
        <v>298243.67000000004</v>
      </c>
    </row>
    <row r="76" spans="1:8" hidden="1" x14ac:dyDescent="0.2">
      <c r="A76" s="528" t="s">
        <v>101</v>
      </c>
      <c r="B76" s="528"/>
      <c r="C76" s="528"/>
      <c r="D76" s="528"/>
      <c r="E76" s="528"/>
      <c r="F76" s="528"/>
      <c r="G76" s="1">
        <v>-257879.21</v>
      </c>
      <c r="H76" s="1">
        <f t="shared" ref="H76:H88" si="9">+SUM(D76:G76)+H75</f>
        <v>40364.46000000005</v>
      </c>
    </row>
    <row r="77" spans="1:8" hidden="1" x14ac:dyDescent="0.2">
      <c r="A77" s="6">
        <f>'FERC Interest Rates'!A80</f>
        <v>43434</v>
      </c>
      <c r="D77" s="1">
        <v>36751.74</v>
      </c>
      <c r="F77" s="1">
        <f t="shared" si="8"/>
        <v>164.55</v>
      </c>
      <c r="H77" s="1">
        <f t="shared" si="9"/>
        <v>77280.750000000058</v>
      </c>
    </row>
    <row r="78" spans="1:8" hidden="1" x14ac:dyDescent="0.2">
      <c r="A78" s="6">
        <f>'FERC Interest Rates'!A81</f>
        <v>43465</v>
      </c>
      <c r="D78" s="1">
        <v>21435.49</v>
      </c>
      <c r="F78" s="1">
        <f t="shared" si="8"/>
        <v>325.55</v>
      </c>
      <c r="H78" s="1">
        <f t="shared" si="9"/>
        <v>99041.790000000066</v>
      </c>
    </row>
    <row r="79" spans="1:8" hidden="1" x14ac:dyDescent="0.2">
      <c r="A79" s="6">
        <f>'FERC Interest Rates'!A82</f>
        <v>43496</v>
      </c>
      <c r="D79" s="1">
        <v>12822.72</v>
      </c>
      <c r="F79" s="1">
        <f t="shared" ref="F79:F88" si="10">ROUND(H78*VLOOKUP(A79,FERCINT19,2)/365*VLOOKUP(A79,FERCINT19,3),2)</f>
        <v>435.73</v>
      </c>
      <c r="H79" s="1">
        <f t="shared" si="9"/>
        <v>112300.24000000006</v>
      </c>
    </row>
    <row r="80" spans="1:8" hidden="1" x14ac:dyDescent="0.2">
      <c r="A80" s="6">
        <f>'FERC Interest Rates'!A83</f>
        <v>43524</v>
      </c>
      <c r="D80" s="1">
        <v>21709.68</v>
      </c>
      <c r="F80" s="1">
        <f t="shared" si="10"/>
        <v>446.25</v>
      </c>
      <c r="H80" s="1">
        <f t="shared" si="9"/>
        <v>134456.17000000007</v>
      </c>
    </row>
    <row r="81" spans="1:8" hidden="1" x14ac:dyDescent="0.2">
      <c r="A81" s="6">
        <f>'FERC Interest Rates'!A84</f>
        <v>43555</v>
      </c>
      <c r="D81" s="1">
        <v>75864.240000000005</v>
      </c>
      <c r="F81" s="1">
        <f t="shared" si="10"/>
        <v>591.53</v>
      </c>
      <c r="H81" s="1">
        <f t="shared" si="9"/>
        <v>210911.94000000006</v>
      </c>
    </row>
    <row r="82" spans="1:8" hidden="1" x14ac:dyDescent="0.2">
      <c r="A82" s="6">
        <f>'FERC Interest Rates'!A85</f>
        <v>43585</v>
      </c>
      <c r="D82" s="1">
        <v>10000</v>
      </c>
      <c r="F82" s="1">
        <f t="shared" si="10"/>
        <v>944.77</v>
      </c>
      <c r="H82" s="1">
        <f t="shared" si="9"/>
        <v>221856.71000000005</v>
      </c>
    </row>
    <row r="83" spans="1:8" hidden="1" x14ac:dyDescent="0.2">
      <c r="A83" s="6">
        <f>'FERC Interest Rates'!A86</f>
        <v>43616</v>
      </c>
      <c r="D83" s="1">
        <v>106891.82</v>
      </c>
      <c r="F83" s="1">
        <f t="shared" si="10"/>
        <v>1026.92</v>
      </c>
      <c r="H83" s="1">
        <f t="shared" si="9"/>
        <v>329775.45000000007</v>
      </c>
    </row>
    <row r="84" spans="1:8" hidden="1" x14ac:dyDescent="0.2">
      <c r="A84" s="6">
        <f>'FERC Interest Rates'!A87</f>
        <v>43646</v>
      </c>
      <c r="B84" s="162"/>
      <c r="C84" s="162"/>
      <c r="D84" s="1">
        <v>127859.55</v>
      </c>
      <c r="E84" s="162"/>
      <c r="F84" s="1">
        <f t="shared" si="10"/>
        <v>1477.21</v>
      </c>
      <c r="H84" s="1">
        <f t="shared" si="9"/>
        <v>459112.21000000008</v>
      </c>
    </row>
    <row r="85" spans="1:8" hidden="1" x14ac:dyDescent="0.2">
      <c r="A85" s="6">
        <f>'FERC Interest Rates'!A88</f>
        <v>43677</v>
      </c>
      <c r="B85" s="162"/>
      <c r="C85" s="162"/>
      <c r="D85" s="1">
        <v>46888.87</v>
      </c>
      <c r="E85" s="162"/>
      <c r="F85" s="1">
        <f t="shared" si="10"/>
        <v>2144.62</v>
      </c>
      <c r="H85" s="1">
        <f t="shared" si="9"/>
        <v>508145.70000000007</v>
      </c>
    </row>
    <row r="86" spans="1:8" hidden="1" x14ac:dyDescent="0.2">
      <c r="A86" s="6">
        <f>'FERC Interest Rates'!A89</f>
        <v>43708</v>
      </c>
      <c r="B86" s="162"/>
      <c r="C86" s="162"/>
      <c r="D86" s="1">
        <v>132257.17000000001</v>
      </c>
      <c r="E86" s="162"/>
      <c r="F86" s="1">
        <f t="shared" si="10"/>
        <v>2373.67</v>
      </c>
      <c r="H86" s="1">
        <f t="shared" si="9"/>
        <v>642776.54</v>
      </c>
    </row>
    <row r="87" spans="1:8" hidden="1" x14ac:dyDescent="0.2">
      <c r="A87" s="6">
        <f>'FERC Interest Rates'!A90</f>
        <v>43738</v>
      </c>
      <c r="B87" s="162"/>
      <c r="C87" s="162"/>
      <c r="D87" s="1">
        <v>47385.25</v>
      </c>
      <c r="E87" s="162"/>
      <c r="F87" s="1">
        <f t="shared" si="10"/>
        <v>2905.7</v>
      </c>
      <c r="H87" s="1">
        <f t="shared" si="9"/>
        <v>693067.49</v>
      </c>
    </row>
    <row r="88" spans="1:8" hidden="1" x14ac:dyDescent="0.2">
      <c r="A88" s="6">
        <f>'FERC Interest Rates'!A91</f>
        <v>43769</v>
      </c>
      <c r="B88" s="162"/>
      <c r="C88" s="162"/>
      <c r="D88" s="1">
        <v>0</v>
      </c>
      <c r="E88" s="162"/>
      <c r="F88" s="1">
        <f t="shared" si="10"/>
        <v>3190.39</v>
      </c>
      <c r="H88" s="1">
        <f t="shared" si="9"/>
        <v>696257.88</v>
      </c>
    </row>
    <row r="89" spans="1:8" hidden="1" x14ac:dyDescent="0.2">
      <c r="A89" s="528" t="s">
        <v>101</v>
      </c>
      <c r="B89" s="528"/>
      <c r="C89" s="528"/>
      <c r="D89" s="528"/>
      <c r="E89" s="528"/>
      <c r="F89" s="528"/>
      <c r="G89" s="1">
        <v>-515187.89</v>
      </c>
      <c r="H89" s="1">
        <f t="shared" ref="H89" si="11">+SUM(D89:G89)+H88</f>
        <v>181069.99</v>
      </c>
    </row>
    <row r="90" spans="1:8" hidden="1" x14ac:dyDescent="0.2">
      <c r="A90" s="6">
        <f>'FERC Interest Rates'!A92</f>
        <v>43799</v>
      </c>
      <c r="B90" s="162"/>
      <c r="C90" s="162"/>
      <c r="D90" s="1">
        <v>0</v>
      </c>
      <c r="E90" s="162"/>
      <c r="F90" s="1">
        <f>ROUND(H89*VLOOKUP(A90,FERCINT19,2)/365*VLOOKUP(A90,FERCINT19,3),2)</f>
        <v>806.63</v>
      </c>
      <c r="H90" s="1">
        <f>+SUM(D90:G90)+H89</f>
        <v>181876.62</v>
      </c>
    </row>
    <row r="91" spans="1:8" hidden="1" x14ac:dyDescent="0.2">
      <c r="A91" s="6">
        <f>'FERC Interest Rates'!A93</f>
        <v>43830</v>
      </c>
      <c r="B91" s="162"/>
      <c r="C91" s="162"/>
      <c r="D91" s="1">
        <v>283947.49</v>
      </c>
      <c r="E91" s="162"/>
      <c r="F91" s="1">
        <f t="shared" ref="F91" si="12">ROUND(H90*VLOOKUP(A91,FERCINT19,2)/365*VLOOKUP(A91,FERCINT19,3),2)</f>
        <v>837.23</v>
      </c>
      <c r="H91" s="1">
        <f t="shared" ref="H91:H114" si="13">+SUM(D91:G91)+H90</f>
        <v>466661.33999999997</v>
      </c>
    </row>
    <row r="92" spans="1:8" hidden="1" x14ac:dyDescent="0.2">
      <c r="A92" s="6">
        <f>'FERC Interest Rates'!A94</f>
        <v>43861</v>
      </c>
      <c r="B92" s="162"/>
      <c r="C92" s="162"/>
      <c r="D92" s="1">
        <v>63058.03</v>
      </c>
      <c r="E92" s="162"/>
      <c r="F92" s="1">
        <f t="shared" ref="F92:F104" si="14">ROUND(H91*VLOOKUP(A92,FERCINT20,2)/365*VLOOKUP(A92,FERCINT20,3),2)</f>
        <v>1965.86</v>
      </c>
      <c r="H92" s="1">
        <f t="shared" si="13"/>
        <v>531685.23</v>
      </c>
    </row>
    <row r="93" spans="1:8" hidden="1" x14ac:dyDescent="0.2">
      <c r="A93" s="6">
        <f>'FERC Interest Rates'!A95</f>
        <v>43890</v>
      </c>
      <c r="B93" s="162"/>
      <c r="C93" s="162"/>
      <c r="D93" s="1">
        <v>147274.29</v>
      </c>
      <c r="E93" s="162"/>
      <c r="F93" s="1">
        <f t="shared" si="14"/>
        <v>2095.2800000000002</v>
      </c>
      <c r="H93" s="1">
        <f t="shared" si="13"/>
        <v>681054.8</v>
      </c>
    </row>
    <row r="94" spans="1:8" hidden="1" x14ac:dyDescent="0.2">
      <c r="A94" s="6">
        <f>'FERC Interest Rates'!A96</f>
        <v>43921</v>
      </c>
      <c r="B94" s="162"/>
      <c r="C94" s="162"/>
      <c r="D94" s="1">
        <v>52745.93</v>
      </c>
      <c r="E94" s="162"/>
      <c r="F94" s="1">
        <f t="shared" si="14"/>
        <v>2869.01</v>
      </c>
      <c r="H94" s="1">
        <f t="shared" si="13"/>
        <v>736669.74</v>
      </c>
    </row>
    <row r="95" spans="1:8" hidden="1" x14ac:dyDescent="0.2">
      <c r="A95" s="6">
        <f>'FERC Interest Rates'!A97</f>
        <v>43951</v>
      </c>
      <c r="B95" s="162"/>
      <c r="C95" s="162"/>
      <c r="D95" s="1">
        <v>70880.460000000006</v>
      </c>
      <c r="E95" s="162"/>
      <c r="F95" s="1">
        <f t="shared" si="14"/>
        <v>2876.04</v>
      </c>
      <c r="H95" s="1">
        <f t="shared" si="13"/>
        <v>810426.24</v>
      </c>
    </row>
    <row r="96" spans="1:8" x14ac:dyDescent="0.2">
      <c r="A96" s="6">
        <f>'FERC Interest Rates'!A98</f>
        <v>43982</v>
      </c>
      <c r="B96" s="162"/>
      <c r="C96" s="162"/>
      <c r="D96" s="1">
        <v>62220.66</v>
      </c>
      <c r="E96" s="162"/>
      <c r="F96" s="1">
        <f t="shared" si="14"/>
        <v>3269.46</v>
      </c>
      <c r="H96" s="1">
        <f t="shared" si="13"/>
        <v>875916.36</v>
      </c>
    </row>
    <row r="97" spans="1:8" x14ac:dyDescent="0.2">
      <c r="A97" s="6">
        <f>'FERC Interest Rates'!A99</f>
        <v>44012</v>
      </c>
      <c r="B97" s="162"/>
      <c r="C97" s="162"/>
      <c r="D97" s="1">
        <v>21158.52</v>
      </c>
      <c r="E97" s="162"/>
      <c r="F97" s="1">
        <f t="shared" si="14"/>
        <v>3419.67</v>
      </c>
      <c r="H97" s="1">
        <f t="shared" si="13"/>
        <v>900494.55</v>
      </c>
    </row>
    <row r="98" spans="1:8" x14ac:dyDescent="0.2">
      <c r="A98" s="6">
        <f>'FERC Interest Rates'!A100</f>
        <v>44043</v>
      </c>
      <c r="B98" s="162"/>
      <c r="C98" s="162"/>
      <c r="D98" s="1">
        <v>68338.03</v>
      </c>
      <c r="E98" s="162"/>
      <c r="F98" s="1">
        <f t="shared" si="14"/>
        <v>2623.28</v>
      </c>
      <c r="H98" s="1">
        <f t="shared" si="13"/>
        <v>971455.8600000001</v>
      </c>
    </row>
    <row r="99" spans="1:8" x14ac:dyDescent="0.2">
      <c r="A99" s="6">
        <f>'FERC Interest Rates'!A101</f>
        <v>44074</v>
      </c>
      <c r="B99" s="162"/>
      <c r="C99" s="162"/>
      <c r="D99" s="1">
        <v>64763.43</v>
      </c>
      <c r="E99" s="162"/>
      <c r="F99" s="1">
        <f t="shared" si="14"/>
        <v>2830</v>
      </c>
      <c r="H99" s="1">
        <f t="shared" si="13"/>
        <v>1039049.29</v>
      </c>
    </row>
    <row r="100" spans="1:8" x14ac:dyDescent="0.2">
      <c r="A100" s="6">
        <f>'FERC Interest Rates'!A102</f>
        <v>44104</v>
      </c>
      <c r="B100" s="162"/>
      <c r="C100" s="162"/>
      <c r="D100" s="1">
        <v>47056.86</v>
      </c>
      <c r="E100" s="162"/>
      <c r="F100" s="1">
        <f t="shared" si="14"/>
        <v>2929.26</v>
      </c>
      <c r="H100" s="1">
        <f t="shared" si="13"/>
        <v>1089035.4100000001</v>
      </c>
    </row>
    <row r="101" spans="1:8" x14ac:dyDescent="0.2">
      <c r="A101" s="6">
        <f>'FERC Interest Rates'!A103</f>
        <v>44135</v>
      </c>
      <c r="B101" s="162"/>
      <c r="C101" s="162"/>
      <c r="D101" s="1">
        <v>0</v>
      </c>
      <c r="E101" s="162"/>
      <c r="F101" s="1">
        <f t="shared" si="14"/>
        <v>3006.04</v>
      </c>
      <c r="H101" s="1">
        <f t="shared" si="13"/>
        <v>1092041.4500000002</v>
      </c>
    </row>
    <row r="102" spans="1:8" x14ac:dyDescent="0.2">
      <c r="A102" s="528" t="s">
        <v>101</v>
      </c>
      <c r="B102" s="528"/>
      <c r="C102" s="528"/>
      <c r="D102" s="528"/>
      <c r="E102" s="528"/>
      <c r="F102" s="528"/>
      <c r="G102" s="146">
        <v>-979729.43</v>
      </c>
      <c r="H102" s="1">
        <f t="shared" si="13"/>
        <v>112312.02000000014</v>
      </c>
    </row>
    <row r="103" spans="1:8" x14ac:dyDescent="0.2">
      <c r="A103" s="6">
        <f>'FERC Interest Rates'!A104</f>
        <v>44165</v>
      </c>
      <c r="B103" s="162"/>
      <c r="C103" s="162"/>
      <c r="D103" s="1">
        <v>53040.07</v>
      </c>
      <c r="E103" s="162"/>
      <c r="F103" s="1">
        <f t="shared" si="14"/>
        <v>300.01</v>
      </c>
      <c r="H103" s="1">
        <f t="shared" si="13"/>
        <v>165652.10000000015</v>
      </c>
    </row>
    <row r="104" spans="1:8" x14ac:dyDescent="0.2">
      <c r="A104" s="6">
        <f>'FERC Interest Rates'!A105</f>
        <v>44196</v>
      </c>
      <c r="B104" s="162"/>
      <c r="C104" s="162"/>
      <c r="D104" s="1">
        <v>33744.980000000003</v>
      </c>
      <c r="E104" s="162"/>
      <c r="F104" s="1">
        <f t="shared" si="14"/>
        <v>457.25</v>
      </c>
      <c r="H104" s="1">
        <f t="shared" si="13"/>
        <v>199854.33000000016</v>
      </c>
    </row>
    <row r="105" spans="1:8" x14ac:dyDescent="0.2">
      <c r="A105" s="6">
        <f>'FERC Interest Rates'!A106</f>
        <v>44227</v>
      </c>
      <c r="B105" s="162"/>
      <c r="C105" s="162"/>
      <c r="D105" s="1">
        <v>65455.96</v>
      </c>
      <c r="E105" s="162"/>
      <c r="F105" s="1">
        <f t="shared" ref="F105:F114" si="15">ROUND(H104*VLOOKUP(A105,FERCINT21,2)/365*VLOOKUP(A105,FERCINT21,3),2)</f>
        <v>551.65</v>
      </c>
      <c r="H105" s="1">
        <f t="shared" si="13"/>
        <v>265861.94000000018</v>
      </c>
    </row>
    <row r="106" spans="1:8" x14ac:dyDescent="0.2">
      <c r="A106" s="6">
        <f>'FERC Interest Rates'!A107</f>
        <v>44255</v>
      </c>
      <c r="B106" s="162"/>
      <c r="C106" s="162"/>
      <c r="D106" s="1">
        <v>0</v>
      </c>
      <c r="E106" s="162"/>
      <c r="F106" s="1">
        <f t="shared" si="15"/>
        <v>662.83</v>
      </c>
      <c r="H106" s="1">
        <f t="shared" si="13"/>
        <v>266524.77000000019</v>
      </c>
    </row>
    <row r="107" spans="1:8" x14ac:dyDescent="0.2">
      <c r="A107" s="6">
        <f>'FERC Interest Rates'!A108</f>
        <v>44286</v>
      </c>
      <c r="B107" s="162"/>
      <c r="C107" s="162"/>
      <c r="D107" s="1">
        <v>87228.25</v>
      </c>
      <c r="E107" s="162"/>
      <c r="F107" s="1">
        <f t="shared" si="15"/>
        <v>735.68</v>
      </c>
      <c r="H107" s="1">
        <f t="shared" si="13"/>
        <v>354488.70000000019</v>
      </c>
    </row>
    <row r="108" spans="1:8" x14ac:dyDescent="0.2">
      <c r="A108" s="6">
        <f>'FERC Interest Rates'!A109</f>
        <v>44316</v>
      </c>
      <c r="B108" s="162"/>
      <c r="C108" s="162"/>
      <c r="D108" s="1">
        <v>66757.88</v>
      </c>
      <c r="E108" s="162"/>
      <c r="F108" s="1">
        <f t="shared" si="15"/>
        <v>946.92</v>
      </c>
      <c r="H108" s="1">
        <f t="shared" si="13"/>
        <v>422193.50000000017</v>
      </c>
    </row>
    <row r="109" spans="1:8" x14ac:dyDescent="0.2">
      <c r="A109" s="6">
        <f>'FERC Interest Rates'!A110</f>
        <v>44347</v>
      </c>
      <c r="B109" s="162"/>
      <c r="C109" s="162"/>
      <c r="D109" s="1">
        <v>81158.67</v>
      </c>
      <c r="E109" s="162"/>
      <c r="F109" s="1">
        <f t="shared" si="15"/>
        <v>1165.3699999999999</v>
      </c>
      <c r="H109" s="1">
        <f t="shared" si="13"/>
        <v>504517.54000000015</v>
      </c>
    </row>
    <row r="110" spans="1:8" x14ac:dyDescent="0.2">
      <c r="A110" s="6">
        <f>'FERC Interest Rates'!A111</f>
        <v>44377</v>
      </c>
      <c r="B110" s="162"/>
      <c r="C110" s="162"/>
      <c r="D110" s="1">
        <v>113867.13</v>
      </c>
      <c r="E110" s="162"/>
      <c r="F110" s="1">
        <f t="shared" si="15"/>
        <v>1347.68</v>
      </c>
      <c r="H110" s="1">
        <f t="shared" si="13"/>
        <v>619732.35000000009</v>
      </c>
    </row>
    <row r="111" spans="1:8" x14ac:dyDescent="0.2">
      <c r="A111" s="6">
        <f>'FERC Interest Rates'!A112</f>
        <v>44408</v>
      </c>
      <c r="B111" s="162"/>
      <c r="C111" s="162"/>
      <c r="D111" s="1">
        <v>71129.960000000006</v>
      </c>
      <c r="E111" s="162"/>
      <c r="F111" s="1">
        <f t="shared" si="15"/>
        <v>1710.63</v>
      </c>
      <c r="H111" s="1">
        <f t="shared" si="13"/>
        <v>692572.94000000006</v>
      </c>
    </row>
    <row r="112" spans="1:8" x14ac:dyDescent="0.2">
      <c r="A112" s="6">
        <f>'FERC Interest Rates'!A113</f>
        <v>44439</v>
      </c>
      <c r="B112" s="162"/>
      <c r="C112" s="162"/>
      <c r="D112" s="1">
        <v>26181.23</v>
      </c>
      <c r="E112" s="162"/>
      <c r="F112" s="1">
        <f t="shared" si="15"/>
        <v>1911.69</v>
      </c>
      <c r="H112" s="1">
        <f t="shared" si="13"/>
        <v>720665.8600000001</v>
      </c>
    </row>
    <row r="113" spans="1:8" x14ac:dyDescent="0.2">
      <c r="A113" s="6">
        <f>'FERC Interest Rates'!A114</f>
        <v>44469</v>
      </c>
      <c r="B113" s="162"/>
      <c r="C113" s="162"/>
      <c r="D113" s="1">
        <v>19574.71</v>
      </c>
      <c r="E113" s="162"/>
      <c r="F113" s="1">
        <f t="shared" si="15"/>
        <v>1925.07</v>
      </c>
      <c r="H113" s="1">
        <f t="shared" si="13"/>
        <v>742165.64000000013</v>
      </c>
    </row>
    <row r="114" spans="1:8" x14ac:dyDescent="0.2">
      <c r="A114" s="6">
        <f>'FERC Interest Rates'!A115</f>
        <v>44500</v>
      </c>
      <c r="B114" s="162"/>
      <c r="C114" s="162"/>
      <c r="D114" s="1">
        <v>113647.71</v>
      </c>
      <c r="E114" s="162"/>
      <c r="F114" s="1">
        <f t="shared" si="15"/>
        <v>2048.58</v>
      </c>
      <c r="H114" s="1">
        <f t="shared" si="13"/>
        <v>857861.93000000017</v>
      </c>
    </row>
    <row r="115" spans="1:8" x14ac:dyDescent="0.2">
      <c r="A115" s="528" t="s">
        <v>101</v>
      </c>
      <c r="B115" s="528"/>
      <c r="C115" s="528"/>
      <c r="D115" s="528"/>
      <c r="E115" s="528"/>
      <c r="F115" s="528"/>
      <c r="G115" s="146">
        <v>-698261.85</v>
      </c>
      <c r="H115" s="1">
        <f t="shared" ref="H115:H118" si="16">+SUM(D115:G115)+H114</f>
        <v>159600.08000000019</v>
      </c>
    </row>
    <row r="116" spans="1:8" x14ac:dyDescent="0.2">
      <c r="A116" s="6">
        <f>'FERC Interest Rates'!A116</f>
        <v>44530</v>
      </c>
      <c r="B116" s="162"/>
      <c r="C116" s="162"/>
      <c r="D116" s="1">
        <v>18760.650000000001</v>
      </c>
      <c r="E116" s="162"/>
      <c r="F116" s="1">
        <f t="shared" ref="F116:F117" si="17">ROUND(H115*VLOOKUP(A116,FERCINT21,2)/365*VLOOKUP(A116,FERCINT21,3),2)</f>
        <v>426.33</v>
      </c>
      <c r="H116" s="1">
        <f t="shared" si="16"/>
        <v>178787.0600000002</v>
      </c>
    </row>
    <row r="117" spans="1:8" x14ac:dyDescent="0.2">
      <c r="A117" s="6">
        <f>'FERC Interest Rates'!A117</f>
        <v>44561</v>
      </c>
      <c r="B117" s="162"/>
      <c r="C117" s="162"/>
      <c r="D117" s="1">
        <v>0</v>
      </c>
      <c r="E117" s="162"/>
      <c r="F117" s="1">
        <f t="shared" si="17"/>
        <v>493.5</v>
      </c>
      <c r="H117" s="1">
        <f t="shared" si="16"/>
        <v>179280.5600000002</v>
      </c>
    </row>
    <row r="118" spans="1:8" x14ac:dyDescent="0.2">
      <c r="A118" s="6">
        <f>'FERC Interest Rates'!A118</f>
        <v>44592</v>
      </c>
      <c r="B118" s="162"/>
      <c r="C118" s="162"/>
      <c r="D118" s="1">
        <v>46616.56</v>
      </c>
      <c r="E118" s="162"/>
      <c r="F118" s="1">
        <f t="shared" ref="F118:F123" si="18">ROUND(H117*VLOOKUP(A118,FERCINT22,2)/365*VLOOKUP(A118,FERCINT22,3),2)</f>
        <v>494.86</v>
      </c>
      <c r="H118" s="1">
        <f t="shared" si="16"/>
        <v>226391.98000000021</v>
      </c>
    </row>
    <row r="119" spans="1:8" x14ac:dyDescent="0.2">
      <c r="A119" s="6">
        <f>'FERC Interest Rates'!A119</f>
        <v>44620</v>
      </c>
      <c r="B119" s="162"/>
      <c r="C119" s="162"/>
      <c r="D119" s="1">
        <v>70938.679999999993</v>
      </c>
      <c r="E119" s="162"/>
      <c r="F119" s="1">
        <f t="shared" si="18"/>
        <v>564.42999999999995</v>
      </c>
      <c r="H119" s="1">
        <f t="shared" ref="H119:H123" si="19">+SUM(D119:G119)+H118</f>
        <v>297895.0900000002</v>
      </c>
    </row>
    <row r="120" spans="1:8" x14ac:dyDescent="0.2">
      <c r="A120" s="6">
        <f>'FERC Interest Rates'!A120</f>
        <v>44651</v>
      </c>
      <c r="B120" s="162"/>
      <c r="C120" s="162"/>
      <c r="D120" s="1">
        <v>27924.19</v>
      </c>
      <c r="E120" s="162"/>
      <c r="F120" s="1">
        <f t="shared" si="18"/>
        <v>822.27</v>
      </c>
      <c r="H120" s="1">
        <f t="shared" si="19"/>
        <v>326641.55000000022</v>
      </c>
    </row>
    <row r="121" spans="1:8" x14ac:dyDescent="0.2">
      <c r="A121" s="6">
        <f>'FERC Interest Rates'!A121</f>
        <v>44681</v>
      </c>
      <c r="B121" s="162"/>
      <c r="C121" s="162"/>
      <c r="D121" s="1">
        <v>44035.59</v>
      </c>
      <c r="E121" s="162"/>
      <c r="F121" s="1">
        <f t="shared" si="18"/>
        <v>872.54</v>
      </c>
      <c r="H121" s="1">
        <f t="shared" si="19"/>
        <v>371549.68000000023</v>
      </c>
    </row>
    <row r="122" spans="1:8" x14ac:dyDescent="0.2">
      <c r="A122" s="6">
        <f>'FERC Interest Rates'!A122</f>
        <v>44712</v>
      </c>
      <c r="B122" s="162"/>
      <c r="C122" s="162"/>
      <c r="D122" s="1">
        <v>146363.07999999999</v>
      </c>
      <c r="E122" s="162"/>
      <c r="F122" s="1">
        <f t="shared" si="18"/>
        <v>1025.58</v>
      </c>
      <c r="H122" s="1">
        <f t="shared" si="19"/>
        <v>518938.3400000002</v>
      </c>
    </row>
    <row r="123" spans="1:8" x14ac:dyDescent="0.2">
      <c r="A123" s="6">
        <f>'FERC Interest Rates'!A123</f>
        <v>44742</v>
      </c>
      <c r="B123" s="162"/>
      <c r="C123" s="162"/>
      <c r="D123" s="1">
        <v>0</v>
      </c>
      <c r="E123" s="162"/>
      <c r="F123" s="1">
        <f t="shared" si="18"/>
        <v>1386.21</v>
      </c>
      <c r="H123" s="1">
        <f t="shared" si="19"/>
        <v>520324.55000000022</v>
      </c>
    </row>
  </sheetData>
  <mergeCells count="24">
    <mergeCell ref="A115:F115"/>
    <mergeCell ref="A102:F102"/>
    <mergeCell ref="A89:F89"/>
    <mergeCell ref="A7:B7"/>
    <mergeCell ref="C7:H7"/>
    <mergeCell ref="A11:G11"/>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s>
  <phoneticPr fontId="0" type="noConversion"/>
  <printOptions horizontalCentered="1"/>
  <pageMargins left="0.5" right="0.25" top="0.5" bottom="0.25" header="0.3" footer="0.3"/>
  <pageSetup scale="89" orientation="portrait" r:id="rId1"/>
  <headerFooter>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111111511111"/>
  <dimension ref="A1:H123"/>
  <sheetViews>
    <sheetView view="pageBreakPreview" zoomScale="75" zoomScaleNormal="60" zoomScaleSheetLayoutView="75" workbookViewId="0">
      <pane xSplit="1" ySplit="10" topLeftCell="B98" activePane="bottomRight" state="frozen"/>
      <selection activeCell="H129" sqref="H129"/>
      <selection pane="topRight" activeCell="H129" sqref="H129"/>
      <selection pane="bottomLeft" activeCell="H129" sqref="H129"/>
      <selection pane="bottomRight" activeCell="H123" sqref="H123"/>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16384" width="8.88671875" style="1"/>
  </cols>
  <sheetData>
    <row r="1" spans="1:8" x14ac:dyDescent="0.2">
      <c r="A1" s="548" t="s">
        <v>13</v>
      </c>
      <c r="B1" s="549"/>
      <c r="C1" s="546" t="s">
        <v>14</v>
      </c>
      <c r="D1" s="546"/>
      <c r="E1" s="546"/>
      <c r="F1" s="546"/>
      <c r="G1" s="546"/>
      <c r="H1" s="547"/>
    </row>
    <row r="2" spans="1:8" x14ac:dyDescent="0.2">
      <c r="A2" s="541" t="s">
        <v>16</v>
      </c>
      <c r="B2" s="533"/>
      <c r="C2" s="550" t="s">
        <v>15</v>
      </c>
      <c r="D2" s="550"/>
      <c r="E2" s="550"/>
      <c r="F2" s="550"/>
      <c r="G2" s="550"/>
      <c r="H2" s="551"/>
    </row>
    <row r="3" spans="1:8" x14ac:dyDescent="0.2">
      <c r="A3" s="541" t="s">
        <v>17</v>
      </c>
      <c r="B3" s="533"/>
      <c r="C3" s="534" t="s">
        <v>121</v>
      </c>
      <c r="D3" s="534"/>
      <c r="E3" s="534"/>
      <c r="F3" s="534"/>
      <c r="G3" s="534"/>
      <c r="H3" s="538"/>
    </row>
    <row r="4" spans="1:8" x14ac:dyDescent="0.2">
      <c r="A4" s="541" t="s">
        <v>18</v>
      </c>
      <c r="B4" s="533"/>
      <c r="C4" s="534" t="s">
        <v>19</v>
      </c>
      <c r="D4" s="534"/>
      <c r="E4" s="534"/>
      <c r="F4" s="534"/>
      <c r="G4" s="534"/>
      <c r="H4" s="538"/>
    </row>
    <row r="5" spans="1:8" x14ac:dyDescent="0.2">
      <c r="A5" s="541" t="s">
        <v>20</v>
      </c>
      <c r="B5" s="533"/>
      <c r="C5" s="534" t="s">
        <v>180</v>
      </c>
      <c r="D5" s="534"/>
      <c r="E5" s="534"/>
      <c r="F5" s="534"/>
      <c r="G5" s="534"/>
      <c r="H5" s="538"/>
    </row>
    <row r="6" spans="1:8" x14ac:dyDescent="0.2">
      <c r="A6" s="541" t="s">
        <v>21</v>
      </c>
      <c r="B6" s="533"/>
      <c r="C6" s="534" t="s">
        <v>68</v>
      </c>
      <c r="D6" s="534"/>
      <c r="E6" s="534"/>
      <c r="F6" s="534"/>
      <c r="G6" s="534"/>
      <c r="H6" s="538"/>
    </row>
    <row r="7" spans="1:8" ht="13.5" thickBot="1" x14ac:dyDescent="0.25">
      <c r="A7" s="542" t="s">
        <v>22</v>
      </c>
      <c r="B7" s="543"/>
      <c r="C7" s="544" t="s">
        <v>50</v>
      </c>
      <c r="D7" s="544"/>
      <c r="E7" s="544"/>
      <c r="F7" s="544"/>
      <c r="G7" s="544"/>
      <c r="H7" s="545"/>
    </row>
    <row r="8" spans="1:8" x14ac:dyDescent="0.2">
      <c r="A8" s="2"/>
      <c r="B8" s="2"/>
      <c r="C8" s="3"/>
      <c r="D8" s="3"/>
      <c r="E8" s="3"/>
      <c r="F8" s="3"/>
      <c r="G8" s="3"/>
      <c r="H8" s="3"/>
    </row>
    <row r="9" spans="1:8" x14ac:dyDescent="0.2">
      <c r="A9" s="4"/>
      <c r="D9" s="529" t="s">
        <v>38</v>
      </c>
      <c r="E9" s="529"/>
      <c r="F9" s="529"/>
    </row>
    <row r="10" spans="1:8" s="5" customFormat="1" ht="24" customHeight="1" x14ac:dyDescent="0.2">
      <c r="A10" s="5" t="s">
        <v>39</v>
      </c>
      <c r="B10" s="5" t="s">
        <v>4</v>
      </c>
      <c r="C10" s="5" t="s">
        <v>12</v>
      </c>
      <c r="D10" s="5" t="s">
        <v>23</v>
      </c>
      <c r="E10" s="5" t="s">
        <v>24</v>
      </c>
      <c r="F10" s="5" t="s">
        <v>2</v>
      </c>
      <c r="G10" s="5" t="s">
        <v>0</v>
      </c>
      <c r="H10" s="5" t="s">
        <v>1</v>
      </c>
    </row>
    <row r="11" spans="1:8" hidden="1" x14ac:dyDescent="0.2">
      <c r="A11" s="527" t="s">
        <v>80</v>
      </c>
      <c r="B11" s="527"/>
      <c r="C11" s="527"/>
      <c r="D11" s="527"/>
      <c r="E11" s="527"/>
      <c r="F11" s="527"/>
      <c r="G11" s="527"/>
      <c r="H11" s="1">
        <v>386395.83</v>
      </c>
    </row>
    <row r="12" spans="1:8" hidden="1" x14ac:dyDescent="0.2">
      <c r="A12" s="6">
        <f>'FERC Interest Rates'!A20</f>
        <v>41608</v>
      </c>
      <c r="D12" s="1">
        <v>47894.04</v>
      </c>
      <c r="F12" s="1">
        <f t="shared" ref="F12:F13" si="0">ROUND(H11*VLOOKUP(A12,FERCINT13,2)/365*VLOOKUP(A12,FERCINT13,3),2)</f>
        <v>1032.1500000000001</v>
      </c>
      <c r="H12" s="1">
        <f t="shared" ref="H12:H36" si="1">H11+SUM(D12:G12)</f>
        <v>435322.02</v>
      </c>
    </row>
    <row r="13" spans="1:8" hidden="1" x14ac:dyDescent="0.2">
      <c r="A13" s="6">
        <f>'FERC Interest Rates'!A21</f>
        <v>41639</v>
      </c>
      <c r="D13" s="1">
        <v>166162.6</v>
      </c>
      <c r="F13" s="1">
        <f t="shared" si="0"/>
        <v>1201.6099999999999</v>
      </c>
      <c r="H13" s="1">
        <f t="shared" si="1"/>
        <v>602686.23</v>
      </c>
    </row>
    <row r="14" spans="1:8" hidden="1" x14ac:dyDescent="0.2">
      <c r="A14" s="6">
        <f>'FERC Interest Rates'!A22</f>
        <v>41670</v>
      </c>
      <c r="D14" s="1">
        <v>69918.740000000005</v>
      </c>
      <c r="F14" s="1">
        <f t="shared" ref="F14:F26" si="2">ROUND(H13*VLOOKUP(A14,FERCINT14,2)/365*VLOOKUP(A14,FERCINT14,3),2)</f>
        <v>1663.58</v>
      </c>
      <c r="H14" s="1">
        <f t="shared" si="1"/>
        <v>674268.55</v>
      </c>
    </row>
    <row r="15" spans="1:8" hidden="1" x14ac:dyDescent="0.2">
      <c r="A15" s="6">
        <f>'FERC Interest Rates'!A23</f>
        <v>41698</v>
      </c>
      <c r="D15" s="1">
        <v>89751.29</v>
      </c>
      <c r="F15" s="1">
        <f t="shared" si="2"/>
        <v>1681.05</v>
      </c>
      <c r="H15" s="1">
        <f t="shared" si="1"/>
        <v>765700.89</v>
      </c>
    </row>
    <row r="16" spans="1:8" hidden="1" x14ac:dyDescent="0.2">
      <c r="A16" s="6">
        <f>'FERC Interest Rates'!A24</f>
        <v>41729</v>
      </c>
      <c r="D16" s="1">
        <v>77979.5</v>
      </c>
      <c r="F16" s="1">
        <f t="shared" si="2"/>
        <v>2113.54</v>
      </c>
      <c r="H16" s="1">
        <f t="shared" si="1"/>
        <v>845793.93</v>
      </c>
    </row>
    <row r="17" spans="1:8" hidden="1" x14ac:dyDescent="0.2">
      <c r="A17" s="6">
        <f>'FERC Interest Rates'!A25</f>
        <v>41759</v>
      </c>
      <c r="D17" s="1">
        <v>97835.520000000004</v>
      </c>
      <c r="F17" s="1">
        <f t="shared" si="2"/>
        <v>2259.31</v>
      </c>
      <c r="H17" s="1">
        <f t="shared" si="1"/>
        <v>945888.76</v>
      </c>
    </row>
    <row r="18" spans="1:8" hidden="1" x14ac:dyDescent="0.2">
      <c r="A18" s="6">
        <f>'FERC Interest Rates'!A26</f>
        <v>41790</v>
      </c>
      <c r="D18" s="1">
        <v>158076.60999999999</v>
      </c>
      <c r="F18" s="1">
        <f t="shared" si="2"/>
        <v>2610.91</v>
      </c>
      <c r="H18" s="1">
        <f t="shared" si="1"/>
        <v>1106576.28</v>
      </c>
    </row>
    <row r="19" spans="1:8" hidden="1" x14ac:dyDescent="0.2">
      <c r="A19" s="6">
        <f>'FERC Interest Rates'!A27</f>
        <v>41820</v>
      </c>
      <c r="D19" s="1">
        <f>130663.59-8978.9</f>
        <v>121684.69</v>
      </c>
      <c r="F19" s="1">
        <f t="shared" si="2"/>
        <v>2955.92</v>
      </c>
      <c r="H19" s="1">
        <f t="shared" si="1"/>
        <v>1231216.8900000001</v>
      </c>
    </row>
    <row r="20" spans="1:8" hidden="1" x14ac:dyDescent="0.2">
      <c r="A20" s="6">
        <f>'FERC Interest Rates'!A28</f>
        <v>41851</v>
      </c>
      <c r="D20" s="1">
        <v>-47127.839999999997</v>
      </c>
      <c r="F20" s="1">
        <f t="shared" si="2"/>
        <v>3398.5</v>
      </c>
      <c r="H20" s="1">
        <f t="shared" si="1"/>
        <v>1187487.55</v>
      </c>
    </row>
    <row r="21" spans="1:8" hidden="1" x14ac:dyDescent="0.2">
      <c r="A21" s="6">
        <f>'FERC Interest Rates'!A29</f>
        <v>41882</v>
      </c>
      <c r="D21" s="1">
        <v>121270.24</v>
      </c>
      <c r="F21" s="1">
        <f t="shared" si="2"/>
        <v>3277.79</v>
      </c>
      <c r="H21" s="1">
        <f t="shared" si="1"/>
        <v>1312035.58</v>
      </c>
    </row>
    <row r="22" spans="1:8" hidden="1" x14ac:dyDescent="0.2">
      <c r="A22" s="6">
        <f>'FERC Interest Rates'!A30</f>
        <v>41912</v>
      </c>
      <c r="D22" s="1">
        <v>31597.98</v>
      </c>
      <c r="F22" s="1">
        <f t="shared" si="2"/>
        <v>3504.75</v>
      </c>
      <c r="H22" s="1">
        <f t="shared" si="1"/>
        <v>1347138.31</v>
      </c>
    </row>
    <row r="23" spans="1:8" hidden="1" x14ac:dyDescent="0.2">
      <c r="A23" s="6">
        <f>'FERC Interest Rates'!A31</f>
        <v>41943</v>
      </c>
      <c r="D23" s="1">
        <f>79038.71+8978.9</f>
        <v>88017.61</v>
      </c>
      <c r="F23" s="1">
        <f t="shared" si="2"/>
        <v>3718.47</v>
      </c>
      <c r="H23" s="1">
        <f t="shared" si="1"/>
        <v>1438874.3900000001</v>
      </c>
    </row>
    <row r="24" spans="1:8" hidden="1" x14ac:dyDescent="0.2">
      <c r="A24" s="528" t="s">
        <v>83</v>
      </c>
      <c r="B24" s="528"/>
      <c r="C24" s="528"/>
      <c r="D24" s="528"/>
      <c r="E24" s="528"/>
      <c r="F24" s="528"/>
      <c r="G24" s="1">
        <v>-1206319.4099999999</v>
      </c>
      <c r="H24" s="1">
        <f t="shared" si="1"/>
        <v>232554.98000000021</v>
      </c>
    </row>
    <row r="25" spans="1:8" hidden="1" x14ac:dyDescent="0.2">
      <c r="A25" s="6">
        <f>'FERC Interest Rates'!A32</f>
        <v>41973</v>
      </c>
      <c r="D25" s="1">
        <v>65573.350000000006</v>
      </c>
      <c r="F25" s="1">
        <f t="shared" si="2"/>
        <v>621.21</v>
      </c>
      <c r="H25" s="1">
        <f t="shared" si="1"/>
        <v>298749.54000000021</v>
      </c>
    </row>
    <row r="26" spans="1:8" hidden="1" x14ac:dyDescent="0.2">
      <c r="A26" s="6">
        <f>'FERC Interest Rates'!A33</f>
        <v>42004</v>
      </c>
      <c r="D26" s="1">
        <v>99335.85</v>
      </c>
      <c r="F26" s="1">
        <f t="shared" si="2"/>
        <v>824.63</v>
      </c>
      <c r="H26" s="1">
        <f t="shared" si="1"/>
        <v>398910.02000000025</v>
      </c>
    </row>
    <row r="27" spans="1:8" hidden="1" x14ac:dyDescent="0.2">
      <c r="A27" s="6">
        <f>'FERC Interest Rates'!A34</f>
        <v>42035</v>
      </c>
      <c r="D27" s="1">
        <v>143728.71</v>
      </c>
      <c r="F27" s="1">
        <f t="shared" ref="F27:F36" si="3">ROUND(H26*VLOOKUP(A27,FERCINT15,2)/365*VLOOKUP(A27,FERCINT15,3),2)</f>
        <v>1101.0999999999999</v>
      </c>
      <c r="H27" s="1">
        <f t="shared" si="1"/>
        <v>543739.83000000031</v>
      </c>
    </row>
    <row r="28" spans="1:8" hidden="1" x14ac:dyDescent="0.2">
      <c r="A28" s="6">
        <f>'FERC Interest Rates'!A35</f>
        <v>42063</v>
      </c>
      <c r="D28" s="1">
        <v>76093.56</v>
      </c>
      <c r="F28" s="1">
        <f t="shared" si="3"/>
        <v>1355.63</v>
      </c>
      <c r="H28" s="1">
        <f t="shared" si="1"/>
        <v>621189.02000000025</v>
      </c>
    </row>
    <row r="29" spans="1:8" hidden="1" x14ac:dyDescent="0.2">
      <c r="A29" s="6">
        <f>'FERC Interest Rates'!A36</f>
        <v>42094</v>
      </c>
      <c r="D29" s="1">
        <v>135794.16</v>
      </c>
      <c r="F29" s="1">
        <f t="shared" si="3"/>
        <v>1714.65</v>
      </c>
      <c r="H29" s="1">
        <f t="shared" si="1"/>
        <v>758697.83000000031</v>
      </c>
    </row>
    <row r="30" spans="1:8" hidden="1" x14ac:dyDescent="0.2">
      <c r="A30" s="6">
        <f>'FERC Interest Rates'!A37</f>
        <v>42124</v>
      </c>
      <c r="D30" s="1">
        <v>39911.660000000003</v>
      </c>
      <c r="F30" s="1">
        <f t="shared" si="3"/>
        <v>2026.66</v>
      </c>
      <c r="H30" s="1">
        <f t="shared" si="1"/>
        <v>800636.15000000037</v>
      </c>
    </row>
    <row r="31" spans="1:8" hidden="1" x14ac:dyDescent="0.2">
      <c r="A31" s="6">
        <f>'FERC Interest Rates'!A38</f>
        <v>42155</v>
      </c>
      <c r="D31" s="1">
        <v>72461.679999999993</v>
      </c>
      <c r="F31" s="1">
        <f t="shared" si="3"/>
        <v>2209.98</v>
      </c>
      <c r="H31" s="1">
        <f t="shared" si="1"/>
        <v>875307.81000000041</v>
      </c>
    </row>
    <row r="32" spans="1:8" hidden="1" x14ac:dyDescent="0.2">
      <c r="A32" s="6">
        <f>'FERC Interest Rates'!A39</f>
        <v>42185</v>
      </c>
      <c r="D32" s="1">
        <v>88146.33</v>
      </c>
      <c r="F32" s="1">
        <f t="shared" si="3"/>
        <v>2338.15</v>
      </c>
      <c r="H32" s="1">
        <f t="shared" si="1"/>
        <v>965792.29000000039</v>
      </c>
    </row>
    <row r="33" spans="1:8" hidden="1" x14ac:dyDescent="0.2">
      <c r="A33" s="6">
        <f>'FERC Interest Rates'!A40</f>
        <v>42216</v>
      </c>
      <c r="D33" s="1">
        <v>126477.72</v>
      </c>
      <c r="F33" s="1">
        <f t="shared" si="3"/>
        <v>2665.85</v>
      </c>
      <c r="H33" s="1">
        <f t="shared" si="1"/>
        <v>1094935.8600000003</v>
      </c>
    </row>
    <row r="34" spans="1:8" hidden="1" x14ac:dyDescent="0.2">
      <c r="A34" s="6">
        <f>'FERC Interest Rates'!A41</f>
        <v>42247</v>
      </c>
      <c r="D34" s="1">
        <v>108373.09</v>
      </c>
      <c r="F34" s="1">
        <f t="shared" si="3"/>
        <v>3022.32</v>
      </c>
      <c r="H34" s="1">
        <f t="shared" si="1"/>
        <v>1206331.2700000003</v>
      </c>
    </row>
    <row r="35" spans="1:8" hidden="1" x14ac:dyDescent="0.2">
      <c r="A35" s="6">
        <f>'FERC Interest Rates'!A42</f>
        <v>42277</v>
      </c>
      <c r="D35" s="1">
        <v>69945.34</v>
      </c>
      <c r="F35" s="1">
        <f t="shared" si="3"/>
        <v>3222.39</v>
      </c>
      <c r="H35" s="1">
        <f t="shared" si="1"/>
        <v>1279499.0000000002</v>
      </c>
    </row>
    <row r="36" spans="1:8" hidden="1" x14ac:dyDescent="0.2">
      <c r="A36" s="6">
        <f>'FERC Interest Rates'!A43</f>
        <v>42308</v>
      </c>
      <c r="D36" s="1">
        <v>254190.89</v>
      </c>
      <c r="F36" s="1">
        <f t="shared" si="3"/>
        <v>3531.77</v>
      </c>
      <c r="H36" s="1">
        <f t="shared" si="1"/>
        <v>1537221.6600000001</v>
      </c>
    </row>
    <row r="37" spans="1:8" hidden="1" x14ac:dyDescent="0.2">
      <c r="A37" s="6">
        <f>'FERC Interest Rates'!A44</f>
        <v>42338</v>
      </c>
      <c r="D37" s="1">
        <v>82841.539999999994</v>
      </c>
      <c r="F37" s="1">
        <f t="shared" ref="F37:F39" si="4">ROUND(H36*VLOOKUP(A37,FERCINT15,2)/365*VLOOKUP(A37,FERCINT15,3),2)</f>
        <v>4106.28</v>
      </c>
      <c r="H37" s="1">
        <f t="shared" ref="H37:H75" si="5">H36+SUM(D37:G37)</f>
        <v>1624169.4800000002</v>
      </c>
    </row>
    <row r="38" spans="1:8" hidden="1" x14ac:dyDescent="0.2">
      <c r="A38" s="528" t="s">
        <v>87</v>
      </c>
      <c r="B38" s="528"/>
      <c r="C38" s="528"/>
      <c r="D38" s="528"/>
      <c r="E38" s="528"/>
      <c r="F38" s="528"/>
      <c r="G38" s="1">
        <v>-1106878.69</v>
      </c>
      <c r="H38" s="1">
        <f t="shared" si="5"/>
        <v>517290.79000000027</v>
      </c>
    </row>
    <row r="39" spans="1:8" hidden="1" x14ac:dyDescent="0.2">
      <c r="A39" s="6">
        <f>'FERC Interest Rates'!A45</f>
        <v>42369</v>
      </c>
      <c r="D39" s="1">
        <v>218943.3</v>
      </c>
      <c r="F39" s="1">
        <f t="shared" si="4"/>
        <v>1427.86</v>
      </c>
      <c r="H39" s="1">
        <f t="shared" si="5"/>
        <v>737661.95000000019</v>
      </c>
    </row>
    <row r="40" spans="1:8" hidden="1" x14ac:dyDescent="0.2">
      <c r="A40" s="6">
        <f>'FERC Interest Rates'!A46</f>
        <v>42400</v>
      </c>
      <c r="D40" s="1">
        <v>60717.4</v>
      </c>
      <c r="F40" s="1">
        <f t="shared" ref="F40:F52" si="6">ROUND(H39*VLOOKUP(A40,FERCINT16,2)/365*VLOOKUP(A40,FERCINT16,3),2)</f>
        <v>2036.15</v>
      </c>
      <c r="H40" s="1">
        <f t="shared" si="5"/>
        <v>800415.50000000023</v>
      </c>
    </row>
    <row r="41" spans="1:8" hidden="1" x14ac:dyDescent="0.2">
      <c r="A41" s="6">
        <f>'FERC Interest Rates'!A47</f>
        <v>42429</v>
      </c>
      <c r="D41" s="1">
        <v>160907.60999999999</v>
      </c>
      <c r="F41" s="1">
        <f t="shared" si="6"/>
        <v>2066.83</v>
      </c>
      <c r="H41" s="1">
        <f t="shared" si="5"/>
        <v>963389.94000000018</v>
      </c>
    </row>
    <row r="42" spans="1:8" hidden="1" x14ac:dyDescent="0.2">
      <c r="A42" s="6">
        <f>'FERC Interest Rates'!A48</f>
        <v>42460</v>
      </c>
      <c r="D42" s="1">
        <v>173541.02</v>
      </c>
      <c r="F42" s="1">
        <f t="shared" si="6"/>
        <v>2659.22</v>
      </c>
      <c r="H42" s="1">
        <f t="shared" si="5"/>
        <v>1139590.1800000002</v>
      </c>
    </row>
    <row r="43" spans="1:8" hidden="1" x14ac:dyDescent="0.2">
      <c r="A43" s="6">
        <f>'FERC Interest Rates'!A49</f>
        <v>42490</v>
      </c>
      <c r="D43" s="1">
        <v>198857.32</v>
      </c>
      <c r="F43" s="1">
        <f t="shared" si="6"/>
        <v>3240.81</v>
      </c>
      <c r="H43" s="1">
        <f t="shared" si="5"/>
        <v>1341688.31</v>
      </c>
    </row>
    <row r="44" spans="1:8" hidden="1" x14ac:dyDescent="0.2">
      <c r="A44" s="6">
        <f>'FERC Interest Rates'!A50</f>
        <v>42521</v>
      </c>
      <c r="D44" s="1">
        <v>122350.54</v>
      </c>
      <c r="F44" s="1">
        <f t="shared" si="6"/>
        <v>3942.73</v>
      </c>
      <c r="H44" s="1">
        <f t="shared" si="5"/>
        <v>1467981.58</v>
      </c>
    </row>
    <row r="45" spans="1:8" hidden="1" x14ac:dyDescent="0.2">
      <c r="A45" s="6">
        <f>'FERC Interest Rates'!A51</f>
        <v>42551</v>
      </c>
      <c r="D45" s="1">
        <v>26118.2</v>
      </c>
      <c r="F45" s="1">
        <f t="shared" si="6"/>
        <v>4174.7</v>
      </c>
      <c r="H45" s="1">
        <f t="shared" si="5"/>
        <v>1498274.48</v>
      </c>
    </row>
    <row r="46" spans="1:8" hidden="1" x14ac:dyDescent="0.2">
      <c r="A46" s="6">
        <f>'FERC Interest Rates'!A52</f>
        <v>42582</v>
      </c>
      <c r="D46" s="1">
        <f>400057.38-4453.77</f>
        <v>395603.61</v>
      </c>
      <c r="F46" s="1">
        <f t="shared" si="6"/>
        <v>4453.7700000000004</v>
      </c>
      <c r="H46" s="1">
        <f t="shared" si="5"/>
        <v>1898331.8599999999</v>
      </c>
    </row>
    <row r="47" spans="1:8" hidden="1" x14ac:dyDescent="0.2">
      <c r="A47" s="6">
        <f>'FERC Interest Rates'!A53</f>
        <v>42613</v>
      </c>
      <c r="D47" s="1">
        <f>49154.9-5642.99</f>
        <v>43511.91</v>
      </c>
      <c r="F47" s="1">
        <f t="shared" si="6"/>
        <v>5642.99</v>
      </c>
      <c r="H47" s="1">
        <f t="shared" si="5"/>
        <v>1947486.7599999998</v>
      </c>
    </row>
    <row r="48" spans="1:8" hidden="1" x14ac:dyDescent="0.2">
      <c r="A48" s="6">
        <f>'FERC Interest Rates'!A54</f>
        <v>42643</v>
      </c>
      <c r="D48" s="1">
        <f>108108.23-5602.36</f>
        <v>102505.87</v>
      </c>
      <c r="F48" s="1">
        <f t="shared" si="6"/>
        <v>5602.36</v>
      </c>
      <c r="H48" s="1">
        <f t="shared" si="5"/>
        <v>2055594.9899999998</v>
      </c>
    </row>
    <row r="49" spans="1:8" hidden="1" x14ac:dyDescent="0.2">
      <c r="A49" s="6">
        <f>'FERC Interest Rates'!A55</f>
        <v>42674</v>
      </c>
      <c r="D49" s="1">
        <f>98315.56-6110.47</f>
        <v>92205.09</v>
      </c>
      <c r="F49" s="1">
        <f t="shared" si="6"/>
        <v>6110.47</v>
      </c>
      <c r="H49" s="1">
        <f t="shared" si="5"/>
        <v>2153910.5499999998</v>
      </c>
    </row>
    <row r="50" spans="1:8" hidden="1" x14ac:dyDescent="0.2">
      <c r="A50" s="528" t="s">
        <v>101</v>
      </c>
      <c r="B50" s="528"/>
      <c r="C50" s="528"/>
      <c r="D50" s="528"/>
      <c r="E50" s="528"/>
      <c r="F50" s="528"/>
      <c r="G50" s="1">
        <v>-1915128.08</v>
      </c>
      <c r="H50" s="1">
        <f t="shared" si="5"/>
        <v>238782.46999999974</v>
      </c>
    </row>
    <row r="51" spans="1:8" hidden="1" x14ac:dyDescent="0.2">
      <c r="A51" s="6">
        <f>'FERC Interest Rates'!A56</f>
        <v>42704</v>
      </c>
      <c r="D51" s="1">
        <v>147702.82999999999</v>
      </c>
      <c r="F51" s="1">
        <f t="shared" si="6"/>
        <v>686.91</v>
      </c>
      <c r="H51" s="1">
        <f t="shared" si="5"/>
        <v>387172.20999999973</v>
      </c>
    </row>
    <row r="52" spans="1:8" hidden="1" x14ac:dyDescent="0.2">
      <c r="A52" s="6">
        <f>'FERC Interest Rates'!A57</f>
        <v>42735</v>
      </c>
      <c r="D52" s="1">
        <f>214948.96-686.91-1150.91-65556.41</f>
        <v>147554.72999999998</v>
      </c>
      <c r="F52" s="1">
        <f t="shared" si="6"/>
        <v>1150.9100000000001</v>
      </c>
      <c r="H52" s="1">
        <f t="shared" si="5"/>
        <v>535877.84999999974</v>
      </c>
    </row>
    <row r="53" spans="1:8" hidden="1" x14ac:dyDescent="0.2">
      <c r="A53" s="6">
        <f>'FERC Interest Rates'!A58</f>
        <v>42766</v>
      </c>
      <c r="D53" s="1">
        <f>286307.59-1592.95</f>
        <v>284714.64</v>
      </c>
      <c r="F53" s="1">
        <f t="shared" ref="F53:F62" si="7">ROUND(H52*VLOOKUP(A53,FERCINT17,2)/365*VLOOKUP(A53,FERCINT17,3),2)</f>
        <v>1592.95</v>
      </c>
      <c r="H53" s="1">
        <f t="shared" si="5"/>
        <v>822185.43999999971</v>
      </c>
    </row>
    <row r="54" spans="1:8" hidden="1" x14ac:dyDescent="0.2">
      <c r="A54" s="6">
        <f>'FERC Interest Rates'!A59</f>
        <v>42794</v>
      </c>
      <c r="D54" s="1">
        <f>112177.3-2207.51</f>
        <v>109969.79000000001</v>
      </c>
      <c r="F54" s="1">
        <f t="shared" si="7"/>
        <v>2207.5100000000002</v>
      </c>
      <c r="H54" s="1">
        <f t="shared" si="5"/>
        <v>934362.73999999976</v>
      </c>
    </row>
    <row r="55" spans="1:8" hidden="1" x14ac:dyDescent="0.2">
      <c r="A55" s="6">
        <f>'FERC Interest Rates'!A60</f>
        <v>42825</v>
      </c>
      <c r="D55" s="1">
        <f>244311.86-2777.49</f>
        <v>241534.37</v>
      </c>
      <c r="F55" s="1">
        <f t="shared" si="7"/>
        <v>2777.49</v>
      </c>
      <c r="H55" s="1">
        <f t="shared" si="5"/>
        <v>1178674.5999999996</v>
      </c>
    </row>
    <row r="56" spans="1:8" hidden="1" x14ac:dyDescent="0.2">
      <c r="A56" s="6">
        <f>'FERC Interest Rates'!A61</f>
        <v>42855</v>
      </c>
      <c r="D56" s="1">
        <f>52288.9-3594.15</f>
        <v>48694.75</v>
      </c>
      <c r="F56" s="1">
        <f t="shared" si="7"/>
        <v>3594.15</v>
      </c>
      <c r="H56" s="1">
        <f t="shared" si="5"/>
        <v>1230963.4999999995</v>
      </c>
    </row>
    <row r="57" spans="1:8" hidden="1" x14ac:dyDescent="0.2">
      <c r="A57" s="6">
        <f>'FERC Interest Rates'!A62</f>
        <v>42886</v>
      </c>
      <c r="D57" s="1">
        <f>133086.53-3878.72-47.21</f>
        <v>129160.59999999999</v>
      </c>
      <c r="F57" s="1">
        <f t="shared" si="7"/>
        <v>3878.72</v>
      </c>
      <c r="H57" s="1">
        <f t="shared" si="5"/>
        <v>1364002.8199999996</v>
      </c>
    </row>
    <row r="58" spans="1:8" hidden="1" x14ac:dyDescent="0.2">
      <c r="A58" s="6">
        <f>'FERC Interest Rates'!A63</f>
        <v>42916</v>
      </c>
      <c r="D58" s="1">
        <f>151925.48-4159.27</f>
        <v>147766.21000000002</v>
      </c>
      <c r="F58" s="1">
        <f t="shared" si="7"/>
        <v>4159.2700000000004</v>
      </c>
      <c r="H58" s="1">
        <f t="shared" si="5"/>
        <v>1515928.2999999996</v>
      </c>
    </row>
    <row r="59" spans="1:8" hidden="1" x14ac:dyDescent="0.2">
      <c r="A59" s="6">
        <f>'FERC Interest Rates'!A64</f>
        <v>42947</v>
      </c>
      <c r="D59" s="1">
        <f>77575.2-18144.75-5098.5</f>
        <v>54331.95</v>
      </c>
      <c r="F59" s="1">
        <f t="shared" si="7"/>
        <v>5098.5</v>
      </c>
      <c r="H59" s="1">
        <f t="shared" si="5"/>
        <v>1575358.7499999995</v>
      </c>
    </row>
    <row r="60" spans="1:8" hidden="1" x14ac:dyDescent="0.2">
      <c r="A60" s="6">
        <f>'FERC Interest Rates'!A65</f>
        <v>42978</v>
      </c>
      <c r="D60" s="1">
        <f>233570.4-5298.38</f>
        <v>228272.02</v>
      </c>
      <c r="F60" s="1">
        <f t="shared" si="7"/>
        <v>5298.38</v>
      </c>
      <c r="H60" s="1">
        <f t="shared" si="5"/>
        <v>1808929.1499999994</v>
      </c>
    </row>
    <row r="61" spans="1:8" hidden="1" x14ac:dyDescent="0.2">
      <c r="A61" s="6">
        <f>'FERC Interest Rates'!A66</f>
        <v>43008</v>
      </c>
      <c r="D61" s="1">
        <f>137485.6-5887.69</f>
        <v>131597.91</v>
      </c>
      <c r="F61" s="1">
        <f t="shared" si="7"/>
        <v>5887.69</v>
      </c>
      <c r="H61" s="1">
        <f t="shared" si="5"/>
        <v>1946414.7499999995</v>
      </c>
    </row>
    <row r="62" spans="1:8" hidden="1" x14ac:dyDescent="0.2">
      <c r="A62" s="6">
        <f>'FERC Interest Rates'!A67</f>
        <v>43039</v>
      </c>
      <c r="D62" s="1">
        <f>297118.94-500-6959.63</f>
        <v>289659.31</v>
      </c>
      <c r="F62" s="1">
        <f t="shared" si="7"/>
        <v>6959.63</v>
      </c>
      <c r="H62" s="1">
        <f t="shared" si="5"/>
        <v>2243033.6899999995</v>
      </c>
    </row>
    <row r="63" spans="1:8" hidden="1" x14ac:dyDescent="0.2">
      <c r="A63" s="528" t="s">
        <v>101</v>
      </c>
      <c r="B63" s="528"/>
      <c r="C63" s="528"/>
      <c r="D63" s="528"/>
      <c r="E63" s="528"/>
      <c r="F63" s="528"/>
      <c r="G63" s="1">
        <v>-1591472.06</v>
      </c>
      <c r="H63" s="1">
        <f t="shared" si="5"/>
        <v>651561.62999999942</v>
      </c>
    </row>
    <row r="64" spans="1:8" hidden="1" x14ac:dyDescent="0.2">
      <c r="A64" s="6">
        <f>'FERC Interest Rates'!A68</f>
        <v>43069</v>
      </c>
      <c r="D64" s="1">
        <f>95905.36-50-100-100-50-100-2254.58</f>
        <v>93250.78</v>
      </c>
      <c r="F64" s="1">
        <f>ROUND(H63*VLOOKUP(A64,FERCINT17,2)/365*VLOOKUP(A64,FERCINT17,3),2)</f>
        <v>2254.58</v>
      </c>
      <c r="H64" s="1">
        <f t="shared" si="5"/>
        <v>747066.98999999941</v>
      </c>
    </row>
    <row r="65" spans="1:8" hidden="1" x14ac:dyDescent="0.2">
      <c r="A65" s="6">
        <f>'FERC Interest Rates'!A69</f>
        <v>43100</v>
      </c>
      <c r="D65" s="1">
        <f>229118.83-2671.23-35</f>
        <v>226412.59999999998</v>
      </c>
      <c r="F65" s="1">
        <f>ROUND(H64*VLOOKUP(A65,FERCINT17,2)/365*VLOOKUP(A65,FERCINT17,3),2)</f>
        <v>2671.23</v>
      </c>
      <c r="H65" s="1">
        <f t="shared" si="5"/>
        <v>976150.81999999937</v>
      </c>
    </row>
    <row r="66" spans="1:8" hidden="1" x14ac:dyDescent="0.2">
      <c r="A66" s="6">
        <f>'FERC Interest Rates'!A70</f>
        <v>43131</v>
      </c>
      <c r="D66" s="1">
        <v>45890.720000000001</v>
      </c>
      <c r="F66" s="1">
        <f t="shared" ref="F66:F78" si="8">ROUND(H65*VLOOKUP(A66,FERCINT18,2)/365*VLOOKUP(A66,FERCINT18,3),2)</f>
        <v>3523.5</v>
      </c>
      <c r="H66" s="1">
        <f t="shared" si="5"/>
        <v>1025565.0399999993</v>
      </c>
    </row>
    <row r="67" spans="1:8" hidden="1" x14ac:dyDescent="0.2">
      <c r="A67" s="6">
        <f>'FERC Interest Rates'!A71</f>
        <v>43159</v>
      </c>
      <c r="D67" s="1">
        <v>246242.68</v>
      </c>
      <c r="F67" s="1">
        <f t="shared" si="8"/>
        <v>3343.62</v>
      </c>
      <c r="H67" s="1">
        <f t="shared" si="5"/>
        <v>1275151.3399999994</v>
      </c>
    </row>
    <row r="68" spans="1:8" hidden="1" x14ac:dyDescent="0.2">
      <c r="A68" s="6">
        <f>'FERC Interest Rates'!A72</f>
        <v>43190</v>
      </c>
      <c r="D68" s="1">
        <v>225852.11</v>
      </c>
      <c r="F68" s="1">
        <f t="shared" si="8"/>
        <v>4602.7700000000004</v>
      </c>
      <c r="H68" s="1">
        <f t="shared" si="5"/>
        <v>1505606.2199999993</v>
      </c>
    </row>
    <row r="69" spans="1:8" hidden="1" x14ac:dyDescent="0.2">
      <c r="A69" s="6">
        <f>'FERC Interest Rates'!A73</f>
        <v>43220</v>
      </c>
      <c r="D69" s="1">
        <f>137753.77-39.54-669.94</f>
        <v>137044.28999999998</v>
      </c>
      <c r="F69" s="1">
        <f t="shared" si="8"/>
        <v>5531.56</v>
      </c>
      <c r="H69" s="1">
        <f t="shared" si="5"/>
        <v>1648182.0699999994</v>
      </c>
    </row>
    <row r="70" spans="1:8" hidden="1" x14ac:dyDescent="0.2">
      <c r="A70" s="6">
        <f>'FERC Interest Rates'!A74</f>
        <v>43251</v>
      </c>
      <c r="D70" s="1">
        <v>334506.46999999997</v>
      </c>
      <c r="F70" s="1">
        <f t="shared" si="8"/>
        <v>6257.22</v>
      </c>
      <c r="H70" s="1">
        <f t="shared" si="5"/>
        <v>1988945.7599999993</v>
      </c>
    </row>
    <row r="71" spans="1:8" hidden="1" x14ac:dyDescent="0.2">
      <c r="A71" s="6">
        <f>'FERC Interest Rates'!A75</f>
        <v>43281</v>
      </c>
      <c r="D71" s="1">
        <f>299916.4-259.67</f>
        <v>299656.73000000004</v>
      </c>
      <c r="F71" s="1">
        <f t="shared" si="8"/>
        <v>7307.33</v>
      </c>
      <c r="H71" s="1">
        <f t="shared" si="5"/>
        <v>2295909.8199999994</v>
      </c>
    </row>
    <row r="72" spans="1:8" hidden="1" x14ac:dyDescent="0.2">
      <c r="A72" s="6">
        <f>'FERC Interest Rates'!A76</f>
        <v>43312</v>
      </c>
      <c r="D72" s="1">
        <v>201823.56</v>
      </c>
      <c r="F72" s="1">
        <f t="shared" si="8"/>
        <v>9145.27</v>
      </c>
      <c r="H72" s="1">
        <f t="shared" si="5"/>
        <v>2506878.6499999994</v>
      </c>
    </row>
    <row r="73" spans="1:8" hidden="1" x14ac:dyDescent="0.2">
      <c r="A73" s="6">
        <f>'FERC Interest Rates'!A77</f>
        <v>43343</v>
      </c>
      <c r="D73" s="1">
        <v>156718.91</v>
      </c>
      <c r="F73" s="1">
        <f t="shared" si="8"/>
        <v>9985.6200000000008</v>
      </c>
      <c r="H73" s="1">
        <f t="shared" si="5"/>
        <v>2673583.1799999992</v>
      </c>
    </row>
    <row r="74" spans="1:8" hidden="1" x14ac:dyDescent="0.2">
      <c r="A74" s="6">
        <f>'FERC Interest Rates'!A78</f>
        <v>43373</v>
      </c>
      <c r="D74" s="1">
        <f>272137.95</f>
        <v>272137.95</v>
      </c>
      <c r="F74" s="1">
        <f t="shared" si="8"/>
        <v>10306.11</v>
      </c>
      <c r="H74" s="1">
        <f t="shared" si="5"/>
        <v>2956027.2399999993</v>
      </c>
    </row>
    <row r="75" spans="1:8" hidden="1" x14ac:dyDescent="0.2">
      <c r="A75" s="6">
        <f>'FERC Interest Rates'!A79</f>
        <v>43404</v>
      </c>
      <c r="D75" s="1">
        <v>92798.27</v>
      </c>
      <c r="F75" s="1">
        <f t="shared" si="8"/>
        <v>12452.57</v>
      </c>
      <c r="H75" s="1">
        <f t="shared" si="5"/>
        <v>3061278.0799999991</v>
      </c>
    </row>
    <row r="76" spans="1:8" hidden="1" x14ac:dyDescent="0.2">
      <c r="A76" s="528" t="s">
        <v>101</v>
      </c>
      <c r="B76" s="528"/>
      <c r="C76" s="528"/>
      <c r="D76" s="528"/>
      <c r="E76" s="528"/>
      <c r="F76" s="528"/>
      <c r="G76" s="1">
        <v>-2537209.6800000002</v>
      </c>
      <c r="H76" s="1">
        <f t="shared" ref="H76:H88" si="9">H75+SUM(D76:G76)</f>
        <v>524068.39999999898</v>
      </c>
    </row>
    <row r="77" spans="1:8" hidden="1" x14ac:dyDescent="0.2">
      <c r="A77" s="6">
        <f>'FERC Interest Rates'!A80</f>
        <v>43434</v>
      </c>
      <c r="D77" s="1">
        <v>110725.27</v>
      </c>
      <c r="F77" s="1">
        <f t="shared" si="8"/>
        <v>2136.48</v>
      </c>
      <c r="H77" s="1">
        <f t="shared" si="9"/>
        <v>636930.14999999898</v>
      </c>
    </row>
    <row r="78" spans="1:8" hidden="1" x14ac:dyDescent="0.2">
      <c r="A78" s="6">
        <f>'FERC Interest Rates'!A81</f>
        <v>43465</v>
      </c>
      <c r="D78" s="1">
        <f>322408.71-10204.7</f>
        <v>312204.01</v>
      </c>
      <c r="F78" s="1">
        <f t="shared" si="8"/>
        <v>2683.13</v>
      </c>
      <c r="H78" s="1">
        <f t="shared" si="9"/>
        <v>951817.28999999899</v>
      </c>
    </row>
    <row r="79" spans="1:8" hidden="1" x14ac:dyDescent="0.2">
      <c r="A79" s="6">
        <f>'FERC Interest Rates'!A82</f>
        <v>43496</v>
      </c>
      <c r="D79" s="1">
        <v>121153.03</v>
      </c>
      <c r="F79" s="1">
        <f t="shared" ref="F79:F88" si="10">ROUND(H78*VLOOKUP(A79,FERCINT19,2)/365*VLOOKUP(A79,FERCINT19,3),2)</f>
        <v>4187.47</v>
      </c>
      <c r="H79" s="1">
        <f t="shared" si="9"/>
        <v>1077157.7899999991</v>
      </c>
    </row>
    <row r="80" spans="1:8" hidden="1" x14ac:dyDescent="0.2">
      <c r="A80" s="6">
        <f>'FERC Interest Rates'!A83</f>
        <v>43524</v>
      </c>
      <c r="D80" s="1">
        <v>64189.56</v>
      </c>
      <c r="F80" s="1">
        <f t="shared" si="10"/>
        <v>4280.3</v>
      </c>
      <c r="H80" s="1">
        <f t="shared" si="9"/>
        <v>1145627.6499999992</v>
      </c>
    </row>
    <row r="81" spans="1:8" hidden="1" x14ac:dyDescent="0.2">
      <c r="A81" s="6">
        <f>'FERC Interest Rates'!A84</f>
        <v>43555</v>
      </c>
      <c r="D81" s="1">
        <v>344013.41</v>
      </c>
      <c r="F81" s="1">
        <f t="shared" si="10"/>
        <v>5040.13</v>
      </c>
      <c r="H81" s="1">
        <f t="shared" si="9"/>
        <v>1494681.1899999992</v>
      </c>
    </row>
    <row r="82" spans="1:8" hidden="1" x14ac:dyDescent="0.2">
      <c r="A82" s="6">
        <f>'FERC Interest Rates'!A85</f>
        <v>43585</v>
      </c>
      <c r="D82" s="1">
        <v>141696.70000000001</v>
      </c>
      <c r="F82" s="1">
        <f t="shared" si="10"/>
        <v>6695.35</v>
      </c>
      <c r="H82" s="1">
        <f t="shared" si="9"/>
        <v>1643073.2399999993</v>
      </c>
    </row>
    <row r="83" spans="1:8" hidden="1" x14ac:dyDescent="0.2">
      <c r="A83" s="6">
        <f>'FERC Interest Rates'!A86</f>
        <v>43616</v>
      </c>
      <c r="D83" s="1">
        <v>163612.56</v>
      </c>
      <c r="F83" s="1">
        <f t="shared" si="10"/>
        <v>7605.4</v>
      </c>
      <c r="H83" s="1">
        <f t="shared" si="9"/>
        <v>1814291.1999999993</v>
      </c>
    </row>
    <row r="84" spans="1:8" hidden="1" x14ac:dyDescent="0.2">
      <c r="A84" s="6">
        <f>'FERC Interest Rates'!A87</f>
        <v>43646</v>
      </c>
      <c r="B84" s="162"/>
      <c r="C84" s="162"/>
      <c r="D84" s="1">
        <v>270185.32</v>
      </c>
      <c r="E84" s="162"/>
      <c r="F84" s="1">
        <f t="shared" si="10"/>
        <v>8127.03</v>
      </c>
      <c r="H84" s="1">
        <f t="shared" si="9"/>
        <v>2092603.5499999993</v>
      </c>
    </row>
    <row r="85" spans="1:8" hidden="1" x14ac:dyDescent="0.2">
      <c r="A85" s="6">
        <f>'FERC Interest Rates'!A88</f>
        <v>43677</v>
      </c>
      <c r="B85" s="162"/>
      <c r="C85" s="162"/>
      <c r="D85" s="1">
        <v>220071.34</v>
      </c>
      <c r="E85" s="162"/>
      <c r="F85" s="1">
        <f t="shared" si="10"/>
        <v>9775.0400000000009</v>
      </c>
      <c r="H85" s="1">
        <f t="shared" si="9"/>
        <v>2322449.9299999992</v>
      </c>
    </row>
    <row r="86" spans="1:8" hidden="1" x14ac:dyDescent="0.2">
      <c r="A86" s="6">
        <f>'FERC Interest Rates'!A89</f>
        <v>43708</v>
      </c>
      <c r="B86" s="162"/>
      <c r="C86" s="162"/>
      <c r="D86" s="1">
        <v>231714.55</v>
      </c>
      <c r="E86" s="162"/>
      <c r="F86" s="1">
        <f t="shared" si="10"/>
        <v>10848.7</v>
      </c>
      <c r="H86" s="1">
        <f t="shared" si="9"/>
        <v>2565013.1799999992</v>
      </c>
    </row>
    <row r="87" spans="1:8" hidden="1" x14ac:dyDescent="0.2">
      <c r="A87" s="6">
        <f>'FERC Interest Rates'!A90</f>
        <v>43738</v>
      </c>
      <c r="B87" s="162"/>
      <c r="C87" s="162"/>
      <c r="D87" s="1">
        <v>201281.67</v>
      </c>
      <c r="E87" s="162"/>
      <c r="F87" s="1">
        <f t="shared" si="10"/>
        <v>11595.27</v>
      </c>
      <c r="H87" s="1">
        <f t="shared" si="9"/>
        <v>2777890.1199999992</v>
      </c>
    </row>
    <row r="88" spans="1:8" hidden="1" x14ac:dyDescent="0.2">
      <c r="A88" s="6">
        <f>'FERC Interest Rates'!A91</f>
        <v>43769</v>
      </c>
      <c r="B88" s="162"/>
      <c r="C88" s="162"/>
      <c r="D88" s="1">
        <v>231993.67</v>
      </c>
      <c r="E88" s="162"/>
      <c r="F88" s="1">
        <f t="shared" si="10"/>
        <v>12787.43</v>
      </c>
      <c r="H88" s="1">
        <f t="shared" si="9"/>
        <v>3022671.2199999993</v>
      </c>
    </row>
    <row r="89" spans="1:8" x14ac:dyDescent="0.2">
      <c r="A89" s="528" t="s">
        <v>101</v>
      </c>
      <c r="B89" s="528"/>
      <c r="C89" s="528"/>
      <c r="D89" s="528"/>
      <c r="E89" s="528"/>
      <c r="F89" s="528"/>
      <c r="G89" s="1">
        <v>-2354635.8199999998</v>
      </c>
      <c r="H89" s="1">
        <f t="shared" ref="H89" si="11">H88+SUM(D89:G89)</f>
        <v>668035.39999999944</v>
      </c>
    </row>
    <row r="90" spans="1:8" x14ac:dyDescent="0.2">
      <c r="A90" s="6">
        <f>'FERC Interest Rates'!A92</f>
        <v>43799</v>
      </c>
      <c r="B90" s="162"/>
      <c r="C90" s="162"/>
      <c r="D90" s="1">
        <v>100820.56</v>
      </c>
      <c r="E90" s="162"/>
      <c r="F90" s="1">
        <f>ROUND(H89*VLOOKUP(A90,FERCINT19,2)/365*VLOOKUP(A90,FERCINT19,3),2)</f>
        <v>2975.96</v>
      </c>
      <c r="H90" s="1">
        <f>H89+SUM(D90:G90)</f>
        <v>771831.91999999946</v>
      </c>
    </row>
    <row r="91" spans="1:8" x14ac:dyDescent="0.2">
      <c r="A91" s="6">
        <f>'FERC Interest Rates'!A93</f>
        <v>43830</v>
      </c>
      <c r="B91" s="162"/>
      <c r="C91" s="162"/>
      <c r="D91" s="1">
        <f>163530.06-87227.1-5972.32</f>
        <v>70330.639999999985</v>
      </c>
      <c r="E91" s="162"/>
      <c r="F91" s="1">
        <f t="shared" ref="F91" si="12">ROUND(H90*VLOOKUP(A91,FERCINT19,2)/365*VLOOKUP(A91,FERCINT19,3),2)</f>
        <v>3552.96</v>
      </c>
      <c r="H91" s="1">
        <f t="shared" ref="H91:H114" si="13">H90+SUM(D91:G91)</f>
        <v>845715.51999999944</v>
      </c>
    </row>
    <row r="92" spans="1:8" x14ac:dyDescent="0.2">
      <c r="A92" s="6">
        <f>'FERC Interest Rates'!A94</f>
        <v>43861</v>
      </c>
      <c r="B92" s="162"/>
      <c r="C92" s="162"/>
      <c r="D92" s="1">
        <v>195003.6</v>
      </c>
      <c r="E92" s="162"/>
      <c r="F92" s="1">
        <f t="shared" ref="F92:F104" si="14">ROUND(H91*VLOOKUP(A92,FERCINT20,2)/365*VLOOKUP(A92,FERCINT20,3),2)</f>
        <v>3562.66</v>
      </c>
      <c r="H92" s="1">
        <f t="shared" si="13"/>
        <v>1044281.7799999994</v>
      </c>
    </row>
    <row r="93" spans="1:8" x14ac:dyDescent="0.2">
      <c r="A93" s="6">
        <f>'FERC Interest Rates'!A95</f>
        <v>43890</v>
      </c>
      <c r="B93" s="162"/>
      <c r="C93" s="162"/>
      <c r="D93" s="1">
        <v>228027.9</v>
      </c>
      <c r="E93" s="162"/>
      <c r="F93" s="1">
        <f t="shared" si="14"/>
        <v>4115.33</v>
      </c>
      <c r="H93" s="1">
        <f t="shared" si="13"/>
        <v>1276425.0099999993</v>
      </c>
    </row>
    <row r="94" spans="1:8" x14ac:dyDescent="0.2">
      <c r="A94" s="6">
        <f>'FERC Interest Rates'!A96</f>
        <v>43921</v>
      </c>
      <c r="B94" s="162"/>
      <c r="C94" s="162"/>
      <c r="D94" s="1">
        <v>332394.89</v>
      </c>
      <c r="E94" s="162"/>
      <c r="F94" s="1">
        <f t="shared" si="14"/>
        <v>5377.07</v>
      </c>
      <c r="H94" s="1">
        <f t="shared" si="13"/>
        <v>1614196.9699999993</v>
      </c>
    </row>
    <row r="95" spans="1:8" x14ac:dyDescent="0.2">
      <c r="A95" s="6">
        <f>'FERC Interest Rates'!A97</f>
        <v>43951</v>
      </c>
      <c r="B95" s="162"/>
      <c r="C95" s="162"/>
      <c r="D95" s="1">
        <v>408392.14</v>
      </c>
      <c r="E95" s="162"/>
      <c r="F95" s="1">
        <f t="shared" si="14"/>
        <v>6302</v>
      </c>
      <c r="H95" s="1">
        <f t="shared" si="13"/>
        <v>2028891.1099999994</v>
      </c>
    </row>
    <row r="96" spans="1:8" x14ac:dyDescent="0.2">
      <c r="A96" s="6">
        <f>'FERC Interest Rates'!A98</f>
        <v>43982</v>
      </c>
      <c r="B96" s="162"/>
      <c r="C96" s="162"/>
      <c r="D96" s="1">
        <v>159379.53</v>
      </c>
      <c r="E96" s="162"/>
      <c r="F96" s="1">
        <f t="shared" si="14"/>
        <v>8185.05</v>
      </c>
      <c r="H96" s="1">
        <f t="shared" si="13"/>
        <v>2196455.6899999995</v>
      </c>
    </row>
    <row r="97" spans="1:8" x14ac:dyDescent="0.2">
      <c r="A97" s="6">
        <f>'FERC Interest Rates'!A99</f>
        <v>44012</v>
      </c>
      <c r="B97" s="162"/>
      <c r="C97" s="162"/>
      <c r="D97" s="1">
        <v>191943.41</v>
      </c>
      <c r="E97" s="162"/>
      <c r="F97" s="1">
        <f t="shared" si="14"/>
        <v>8575.2000000000007</v>
      </c>
      <c r="H97" s="1">
        <f t="shared" si="13"/>
        <v>2396974.2999999993</v>
      </c>
    </row>
    <row r="98" spans="1:8" x14ac:dyDescent="0.2">
      <c r="A98" s="6">
        <f>'FERC Interest Rates'!A100</f>
        <v>44043</v>
      </c>
      <c r="B98" s="162"/>
      <c r="C98" s="162"/>
      <c r="D98" s="1">
        <v>70949.89</v>
      </c>
      <c r="E98" s="162"/>
      <c r="F98" s="1">
        <f t="shared" si="14"/>
        <v>6982.75</v>
      </c>
      <c r="H98" s="1">
        <f t="shared" si="13"/>
        <v>2474906.9399999995</v>
      </c>
    </row>
    <row r="99" spans="1:8" x14ac:dyDescent="0.2">
      <c r="A99" s="6">
        <f>'FERC Interest Rates'!A101</f>
        <v>44074</v>
      </c>
      <c r="B99" s="162"/>
      <c r="C99" s="162"/>
      <c r="D99" s="1">
        <v>73931.59</v>
      </c>
      <c r="E99" s="162"/>
      <c r="F99" s="1">
        <f t="shared" si="14"/>
        <v>7209.78</v>
      </c>
      <c r="H99" s="1">
        <f t="shared" si="13"/>
        <v>2556048.3099999996</v>
      </c>
    </row>
    <row r="100" spans="1:8" x14ac:dyDescent="0.2">
      <c r="A100" s="6">
        <f>'FERC Interest Rates'!A102</f>
        <v>44104</v>
      </c>
      <c r="B100" s="162"/>
      <c r="C100" s="162"/>
      <c r="D100" s="1">
        <v>151919.51</v>
      </c>
      <c r="E100" s="162"/>
      <c r="F100" s="1">
        <f t="shared" si="14"/>
        <v>7205.96</v>
      </c>
      <c r="H100" s="1">
        <f t="shared" si="13"/>
        <v>2715173.78</v>
      </c>
    </row>
    <row r="101" spans="1:8" x14ac:dyDescent="0.2">
      <c r="A101" s="6">
        <f>'FERC Interest Rates'!A103</f>
        <v>44135</v>
      </c>
      <c r="B101" s="162"/>
      <c r="C101" s="162"/>
      <c r="D101" s="1">
        <v>217238.49</v>
      </c>
      <c r="E101" s="162"/>
      <c r="F101" s="1">
        <f t="shared" si="14"/>
        <v>7494.62</v>
      </c>
      <c r="H101" s="1">
        <f t="shared" si="13"/>
        <v>2939906.8899999997</v>
      </c>
    </row>
    <row r="102" spans="1:8" x14ac:dyDescent="0.2">
      <c r="A102" s="528" t="s">
        <v>101</v>
      </c>
      <c r="B102" s="528"/>
      <c r="C102" s="528"/>
      <c r="D102" s="528"/>
      <c r="E102" s="528"/>
      <c r="F102" s="528"/>
      <c r="G102" s="146">
        <v>-2495984.89</v>
      </c>
      <c r="H102" s="1">
        <f t="shared" si="13"/>
        <v>443921.99999999953</v>
      </c>
    </row>
    <row r="103" spans="1:8" x14ac:dyDescent="0.2">
      <c r="A103" s="6">
        <f>'FERC Interest Rates'!A104</f>
        <v>44165</v>
      </c>
      <c r="B103" s="162"/>
      <c r="C103" s="162"/>
      <c r="D103" s="1">
        <v>112557.11</v>
      </c>
      <c r="E103" s="162"/>
      <c r="F103" s="1">
        <f t="shared" si="14"/>
        <v>1185.82</v>
      </c>
      <c r="H103" s="1">
        <f t="shared" si="13"/>
        <v>557664.92999999959</v>
      </c>
    </row>
    <row r="104" spans="1:8" x14ac:dyDescent="0.2">
      <c r="A104" s="6">
        <f>'FERC Interest Rates'!A105</f>
        <v>44196</v>
      </c>
      <c r="B104" s="162"/>
      <c r="C104" s="162"/>
      <c r="D104" s="1">
        <f>131078.43-17792.05</f>
        <v>113286.37999999999</v>
      </c>
      <c r="E104" s="162"/>
      <c r="F104" s="1">
        <f t="shared" si="14"/>
        <v>1539.31</v>
      </c>
      <c r="H104" s="1">
        <f t="shared" si="13"/>
        <v>672490.61999999953</v>
      </c>
    </row>
    <row r="105" spans="1:8" x14ac:dyDescent="0.2">
      <c r="A105" s="6">
        <f>'FERC Interest Rates'!A106</f>
        <v>44227</v>
      </c>
      <c r="B105" s="162"/>
      <c r="C105" s="162"/>
      <c r="D105" s="1">
        <v>129552.11</v>
      </c>
      <c r="E105" s="162"/>
      <c r="F105" s="1">
        <f t="shared" ref="F105:F114" si="15">ROUND(H104*VLOOKUP(A105,FERCINT21,2)/365*VLOOKUP(A105,FERCINT21,3),2)</f>
        <v>1856.26</v>
      </c>
      <c r="H105" s="1">
        <f t="shared" si="13"/>
        <v>803898.98999999953</v>
      </c>
    </row>
    <row r="106" spans="1:8" x14ac:dyDescent="0.2">
      <c r="A106" s="6">
        <f>'FERC Interest Rates'!A107</f>
        <v>44255</v>
      </c>
      <c r="B106" s="162"/>
      <c r="C106" s="162"/>
      <c r="D106" s="1">
        <v>293330.32</v>
      </c>
      <c r="E106" s="162"/>
      <c r="F106" s="1">
        <f t="shared" si="15"/>
        <v>2004.24</v>
      </c>
      <c r="H106" s="1">
        <f t="shared" si="13"/>
        <v>1099233.5499999996</v>
      </c>
    </row>
    <row r="107" spans="1:8" x14ac:dyDescent="0.2">
      <c r="A107" s="6">
        <f>'FERC Interest Rates'!A108</f>
        <v>44286</v>
      </c>
      <c r="B107" s="162"/>
      <c r="C107" s="162"/>
      <c r="D107" s="1">
        <v>267330.36</v>
      </c>
      <c r="E107" s="162"/>
      <c r="F107" s="1">
        <f t="shared" si="15"/>
        <v>3034.19</v>
      </c>
      <c r="H107" s="1">
        <f t="shared" si="13"/>
        <v>1369598.0999999996</v>
      </c>
    </row>
    <row r="108" spans="1:8" x14ac:dyDescent="0.2">
      <c r="A108" s="6">
        <f>'FERC Interest Rates'!A109</f>
        <v>44316</v>
      </c>
      <c r="B108" s="162"/>
      <c r="C108" s="162"/>
      <c r="D108" s="1">
        <v>190481.23</v>
      </c>
      <c r="E108" s="162"/>
      <c r="F108" s="1">
        <f t="shared" si="15"/>
        <v>3658.52</v>
      </c>
      <c r="H108" s="1">
        <f t="shared" si="13"/>
        <v>1563737.8499999996</v>
      </c>
    </row>
    <row r="109" spans="1:8" x14ac:dyDescent="0.2">
      <c r="A109" s="6">
        <f>'FERC Interest Rates'!A110</f>
        <v>44347</v>
      </c>
      <c r="B109" s="162"/>
      <c r="C109" s="162"/>
      <c r="D109" s="1">
        <v>159987.15</v>
      </c>
      <c r="E109" s="162"/>
      <c r="F109" s="1">
        <f t="shared" si="15"/>
        <v>4316.34</v>
      </c>
      <c r="H109" s="1">
        <f t="shared" si="13"/>
        <v>1728041.3399999996</v>
      </c>
    </row>
    <row r="110" spans="1:8" x14ac:dyDescent="0.2">
      <c r="A110" s="6">
        <f>'FERC Interest Rates'!A111</f>
        <v>44377</v>
      </c>
      <c r="B110" s="162"/>
      <c r="C110" s="162"/>
      <c r="D110" s="1">
        <v>166161.1</v>
      </c>
      <c r="E110" s="162"/>
      <c r="F110" s="1">
        <f t="shared" si="15"/>
        <v>4616</v>
      </c>
      <c r="H110" s="1">
        <f t="shared" si="13"/>
        <v>1898818.4399999997</v>
      </c>
    </row>
    <row r="111" spans="1:8" x14ac:dyDescent="0.2">
      <c r="A111" s="6">
        <f>'FERC Interest Rates'!A112</f>
        <v>44408</v>
      </c>
      <c r="B111" s="162"/>
      <c r="C111" s="162"/>
      <c r="D111" s="1">
        <v>216856.92</v>
      </c>
      <c r="E111" s="162"/>
      <c r="F111" s="1">
        <f t="shared" si="15"/>
        <v>5241.26</v>
      </c>
      <c r="H111" s="1">
        <f t="shared" si="13"/>
        <v>2120916.6199999996</v>
      </c>
    </row>
    <row r="112" spans="1:8" x14ac:dyDescent="0.2">
      <c r="A112" s="6">
        <f>'FERC Interest Rates'!A113</f>
        <v>44439</v>
      </c>
      <c r="B112" s="162"/>
      <c r="C112" s="162"/>
      <c r="D112" s="1">
        <v>162775.96</v>
      </c>
      <c r="E112" s="162"/>
      <c r="F112" s="1">
        <f t="shared" si="15"/>
        <v>5854.31</v>
      </c>
      <c r="H112" s="1">
        <f t="shared" si="13"/>
        <v>2289546.8899999997</v>
      </c>
    </row>
    <row r="113" spans="1:8" x14ac:dyDescent="0.2">
      <c r="A113" s="6">
        <f>'FERC Interest Rates'!A114</f>
        <v>44469</v>
      </c>
      <c r="B113" s="162"/>
      <c r="C113" s="162"/>
      <c r="D113" s="1">
        <v>119722.95</v>
      </c>
      <c r="E113" s="162"/>
      <c r="F113" s="1">
        <f t="shared" si="15"/>
        <v>6115.91</v>
      </c>
      <c r="H113" s="1">
        <f t="shared" si="13"/>
        <v>2415385.7499999995</v>
      </c>
    </row>
    <row r="114" spans="1:8" x14ac:dyDescent="0.2">
      <c r="A114" s="6">
        <f>'FERC Interest Rates'!A115</f>
        <v>44500</v>
      </c>
      <c r="B114" s="162"/>
      <c r="C114" s="162"/>
      <c r="D114" s="1">
        <v>156138.73000000001</v>
      </c>
      <c r="E114" s="162"/>
      <c r="F114" s="1">
        <f t="shared" si="15"/>
        <v>6667.13</v>
      </c>
      <c r="H114" s="1">
        <f t="shared" si="13"/>
        <v>2578191.6099999994</v>
      </c>
    </row>
    <row r="115" spans="1:8" x14ac:dyDescent="0.2">
      <c r="A115" s="528" t="s">
        <v>101</v>
      </c>
      <c r="B115" s="528"/>
      <c r="C115" s="528"/>
      <c r="D115" s="528"/>
      <c r="E115" s="528"/>
      <c r="F115" s="528"/>
      <c r="G115" s="146">
        <v>-2138338.1800000002</v>
      </c>
      <c r="H115" s="1">
        <f t="shared" ref="H115:H118" si="16">H114+SUM(D115:G115)</f>
        <v>439853.42999999924</v>
      </c>
    </row>
    <row r="116" spans="1:8" x14ac:dyDescent="0.2">
      <c r="A116" s="6">
        <f>'FERC Interest Rates'!A116</f>
        <v>44530</v>
      </c>
      <c r="B116" s="162"/>
      <c r="C116" s="162"/>
      <c r="D116" s="1">
        <v>127438.19</v>
      </c>
      <c r="E116" s="162"/>
      <c r="F116" s="1">
        <f t="shared" ref="F116:F117" si="17">ROUND(H115*VLOOKUP(A116,FERCINT21,2)/365*VLOOKUP(A116,FERCINT21,3),2)</f>
        <v>1174.95</v>
      </c>
      <c r="H116" s="1">
        <f t="shared" si="16"/>
        <v>568466.56999999925</v>
      </c>
    </row>
    <row r="117" spans="1:8" x14ac:dyDescent="0.2">
      <c r="A117" s="6">
        <f>'FERC Interest Rates'!A117</f>
        <v>44561</v>
      </c>
      <c r="B117" s="162"/>
      <c r="C117" s="162"/>
      <c r="D117" s="1">
        <f>109815.01-11067.4</f>
        <v>98747.61</v>
      </c>
      <c r="E117" s="162"/>
      <c r="F117" s="1">
        <f t="shared" si="17"/>
        <v>1569.12</v>
      </c>
      <c r="H117" s="1">
        <f t="shared" si="16"/>
        <v>668783.29999999923</v>
      </c>
    </row>
    <row r="118" spans="1:8" x14ac:dyDescent="0.2">
      <c r="A118" s="6">
        <f>'FERC Interest Rates'!A118</f>
        <v>44592</v>
      </c>
      <c r="B118" s="162"/>
      <c r="C118" s="162"/>
      <c r="D118" s="1">
        <v>758465.2</v>
      </c>
      <c r="E118" s="162"/>
      <c r="F118" s="1">
        <f t="shared" ref="F118:F123" si="18">ROUND(H117*VLOOKUP(A118,FERCINT22,2)/365*VLOOKUP(A118,FERCINT22,3),2)</f>
        <v>1846.03</v>
      </c>
      <c r="H118" s="1">
        <f t="shared" si="16"/>
        <v>1429094.5299999993</v>
      </c>
    </row>
    <row r="119" spans="1:8" x14ac:dyDescent="0.2">
      <c r="A119" s="6">
        <f>'FERC Interest Rates'!A119</f>
        <v>44620</v>
      </c>
      <c r="B119" s="162"/>
      <c r="C119" s="162"/>
      <c r="D119" s="1">
        <f>189192.39+160500</f>
        <v>349692.39</v>
      </c>
      <c r="E119" s="162"/>
      <c r="F119" s="1">
        <f t="shared" si="18"/>
        <v>3562.95</v>
      </c>
      <c r="H119" s="1">
        <f t="shared" ref="H119:H123" si="19">H118+SUM(D119:G119)</f>
        <v>1782349.8699999994</v>
      </c>
    </row>
    <row r="120" spans="1:8" x14ac:dyDescent="0.2">
      <c r="A120" s="6">
        <f>'FERC Interest Rates'!A120</f>
        <v>44651</v>
      </c>
      <c r="B120" s="162"/>
      <c r="C120" s="162"/>
      <c r="D120" s="1">
        <v>191534.16</v>
      </c>
      <c r="E120" s="162"/>
      <c r="F120" s="1">
        <f t="shared" si="18"/>
        <v>4919.7700000000004</v>
      </c>
      <c r="H120" s="1">
        <f t="shared" si="19"/>
        <v>1978803.7999999993</v>
      </c>
    </row>
    <row r="121" spans="1:8" x14ac:dyDescent="0.2">
      <c r="A121" s="6">
        <f>'FERC Interest Rates'!A121</f>
        <v>44681</v>
      </c>
      <c r="B121" s="162"/>
      <c r="C121" s="162"/>
      <c r="D121" s="1">
        <v>180614.11</v>
      </c>
      <c r="E121" s="162"/>
      <c r="F121" s="1">
        <f t="shared" si="18"/>
        <v>5285.85</v>
      </c>
      <c r="H121" s="1">
        <f t="shared" si="19"/>
        <v>2164703.7599999993</v>
      </c>
    </row>
    <row r="122" spans="1:8" x14ac:dyDescent="0.2">
      <c r="A122" s="6">
        <f>'FERC Interest Rates'!A122</f>
        <v>44712</v>
      </c>
      <c r="B122" s="162"/>
      <c r="C122" s="162"/>
      <c r="D122" s="1">
        <v>178307.69</v>
      </c>
      <c r="E122" s="162"/>
      <c r="F122" s="1">
        <f t="shared" si="18"/>
        <v>5975.18</v>
      </c>
      <c r="H122" s="1">
        <f t="shared" si="19"/>
        <v>2348986.6299999994</v>
      </c>
    </row>
    <row r="123" spans="1:8" x14ac:dyDescent="0.2">
      <c r="A123" s="6">
        <f>'FERC Interest Rates'!A123</f>
        <v>44742</v>
      </c>
      <c r="B123" s="162"/>
      <c r="C123" s="162"/>
      <c r="D123" s="1">
        <v>226697.65</v>
      </c>
      <c r="E123" s="162"/>
      <c r="F123" s="1">
        <f t="shared" si="18"/>
        <v>6274.69</v>
      </c>
      <c r="H123" s="1">
        <f t="shared" si="19"/>
        <v>2581958.9699999993</v>
      </c>
    </row>
  </sheetData>
  <mergeCells count="24">
    <mergeCell ref="A115:F115"/>
    <mergeCell ref="A102:F102"/>
    <mergeCell ref="A89:F89"/>
    <mergeCell ref="A11:G11"/>
    <mergeCell ref="A38:F38"/>
    <mergeCell ref="A24:F24"/>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7:B7"/>
    <mergeCell ref="D9:F9"/>
    <mergeCell ref="C7:H7"/>
  </mergeCells>
  <phoneticPr fontId="0" type="noConversion"/>
  <printOptions horizontalCentered="1"/>
  <pageMargins left="0.5" right="0.25" top="0.5" bottom="0.25" header="0.3" footer="0.3"/>
  <pageSetup scale="89" orientation="portrait" r:id="rId1"/>
  <headerFooter>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23"/>
  <sheetViews>
    <sheetView view="pageBreakPreview" zoomScale="75" zoomScaleNormal="75" zoomScaleSheetLayoutView="75" workbookViewId="0">
      <pane xSplit="1" ySplit="10" topLeftCell="B107" activePane="bottomRight" state="frozen"/>
      <selection activeCell="H129" sqref="H129"/>
      <selection pane="topRight" activeCell="H129" sqref="H129"/>
      <selection pane="bottomLeft" activeCell="H129" sqref="H129"/>
      <selection pane="bottomRight" activeCell="H123" sqref="H123"/>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16384" width="8.88671875" style="1"/>
  </cols>
  <sheetData>
    <row r="1" spans="1:8" x14ac:dyDescent="0.2">
      <c r="A1" s="548" t="s">
        <v>13</v>
      </c>
      <c r="B1" s="549"/>
      <c r="C1" s="562" t="s">
        <v>14</v>
      </c>
      <c r="D1" s="562"/>
      <c r="E1" s="562"/>
      <c r="F1" s="562"/>
      <c r="G1" s="562"/>
      <c r="H1" s="563"/>
    </row>
    <row r="2" spans="1:8" x14ac:dyDescent="0.2">
      <c r="A2" s="541" t="s">
        <v>16</v>
      </c>
      <c r="B2" s="533"/>
      <c r="C2" s="550" t="s">
        <v>25</v>
      </c>
      <c r="D2" s="550"/>
      <c r="E2" s="550"/>
      <c r="F2" s="550"/>
      <c r="G2" s="550"/>
      <c r="H2" s="551"/>
    </row>
    <row r="3" spans="1:8" x14ac:dyDescent="0.2">
      <c r="A3" s="541" t="s">
        <v>17</v>
      </c>
      <c r="B3" s="533"/>
      <c r="C3" s="534" t="s">
        <v>122</v>
      </c>
      <c r="D3" s="534"/>
      <c r="E3" s="534"/>
      <c r="F3" s="534"/>
      <c r="G3" s="534"/>
      <c r="H3" s="538"/>
    </row>
    <row r="4" spans="1:8" x14ac:dyDescent="0.2">
      <c r="A4" s="541" t="s">
        <v>18</v>
      </c>
      <c r="B4" s="533"/>
      <c r="C4" s="534" t="s">
        <v>19</v>
      </c>
      <c r="D4" s="534"/>
      <c r="E4" s="534"/>
      <c r="F4" s="534"/>
      <c r="G4" s="534"/>
      <c r="H4" s="538"/>
    </row>
    <row r="5" spans="1:8" x14ac:dyDescent="0.2">
      <c r="A5" s="541" t="s">
        <v>20</v>
      </c>
      <c r="B5" s="533"/>
      <c r="C5" s="534" t="s">
        <v>180</v>
      </c>
      <c r="D5" s="534"/>
      <c r="E5" s="534"/>
      <c r="F5" s="534"/>
      <c r="G5" s="534"/>
      <c r="H5" s="538"/>
    </row>
    <row r="6" spans="1:8" x14ac:dyDescent="0.2">
      <c r="A6" s="541" t="s">
        <v>21</v>
      </c>
      <c r="B6" s="533"/>
      <c r="C6" s="534" t="s">
        <v>68</v>
      </c>
      <c r="D6" s="534"/>
      <c r="E6" s="534"/>
      <c r="F6" s="534"/>
      <c r="G6" s="534"/>
      <c r="H6" s="538"/>
    </row>
    <row r="7" spans="1:8" ht="13.5" thickBot="1" x14ac:dyDescent="0.25">
      <c r="A7" s="564" t="s">
        <v>22</v>
      </c>
      <c r="B7" s="565"/>
      <c r="C7" s="566" t="s">
        <v>51</v>
      </c>
      <c r="D7" s="566"/>
      <c r="E7" s="566"/>
      <c r="F7" s="566"/>
      <c r="G7" s="566"/>
      <c r="H7" s="567"/>
    </row>
    <row r="8" spans="1:8" x14ac:dyDescent="0.2">
      <c r="A8" s="2"/>
      <c r="B8" s="2"/>
      <c r="C8" s="3"/>
      <c r="D8" s="3"/>
      <c r="E8" s="3"/>
      <c r="F8" s="3"/>
      <c r="G8" s="3"/>
      <c r="H8" s="3"/>
    </row>
    <row r="9" spans="1:8" x14ac:dyDescent="0.2">
      <c r="A9" s="4"/>
      <c r="D9" s="529" t="s">
        <v>38</v>
      </c>
      <c r="E9" s="529"/>
      <c r="F9" s="529"/>
    </row>
    <row r="10" spans="1:8" s="5" customFormat="1" ht="24" customHeight="1" x14ac:dyDescent="0.2">
      <c r="A10" s="5" t="s">
        <v>39</v>
      </c>
      <c r="B10" s="5" t="s">
        <v>4</v>
      </c>
      <c r="C10" s="5" t="s">
        <v>12</v>
      </c>
      <c r="D10" s="5" t="s">
        <v>23</v>
      </c>
      <c r="E10" s="5" t="s">
        <v>24</v>
      </c>
      <c r="F10" s="5" t="s">
        <v>2</v>
      </c>
      <c r="G10" s="5" t="s">
        <v>0</v>
      </c>
      <c r="H10" s="5" t="s">
        <v>1</v>
      </c>
    </row>
    <row r="11" spans="1:8" hidden="1" x14ac:dyDescent="0.2">
      <c r="A11" s="527" t="s">
        <v>80</v>
      </c>
      <c r="B11" s="527"/>
      <c r="C11" s="527"/>
      <c r="D11" s="527"/>
      <c r="E11" s="527"/>
      <c r="F11" s="527"/>
      <c r="G11" s="527"/>
      <c r="H11" s="1">
        <v>123401.78</v>
      </c>
    </row>
    <row r="12" spans="1:8" hidden="1" x14ac:dyDescent="0.2">
      <c r="A12" s="6">
        <f>'FERC Interest Rates'!A20</f>
        <v>41608</v>
      </c>
      <c r="D12" s="1">
        <v>92494.35</v>
      </c>
      <c r="F12" s="1">
        <f t="shared" ref="F12:F13" si="0">ROUND(H11*VLOOKUP(A12,FERCINT13,2)/365*VLOOKUP(A12,FERCINT13,3),2)</f>
        <v>329.63</v>
      </c>
      <c r="H12" s="1">
        <f t="shared" ref="H12:H36" si="1">+SUM(D12:G12)+H11</f>
        <v>216225.76</v>
      </c>
    </row>
    <row r="13" spans="1:8" hidden="1" x14ac:dyDescent="0.2">
      <c r="A13" s="6">
        <f>'FERC Interest Rates'!A21</f>
        <v>41639</v>
      </c>
      <c r="D13" s="1">
        <v>71457.95</v>
      </c>
      <c r="F13" s="1">
        <f t="shared" si="0"/>
        <v>596.84</v>
      </c>
      <c r="H13" s="1">
        <f t="shared" si="1"/>
        <v>288280.55</v>
      </c>
    </row>
    <row r="14" spans="1:8" hidden="1" x14ac:dyDescent="0.2">
      <c r="A14" s="6">
        <f>'FERC Interest Rates'!A22</f>
        <v>41670</v>
      </c>
      <c r="D14" s="1">
        <v>24631.1</v>
      </c>
      <c r="F14" s="1">
        <f t="shared" ref="F14:F23" si="2">ROUND(H13*VLOOKUP(A14,FERCINT14,2)/365*VLOOKUP(A14,FERCINT14,3),2)</f>
        <v>795.73</v>
      </c>
      <c r="H14" s="1">
        <f t="shared" si="1"/>
        <v>313707.38</v>
      </c>
    </row>
    <row r="15" spans="1:8" hidden="1" x14ac:dyDescent="0.2">
      <c r="A15" s="6">
        <f>'FERC Interest Rates'!A23</f>
        <v>41698</v>
      </c>
      <c r="D15" s="1">
        <f>28783.35+26233.4</f>
        <v>55016.75</v>
      </c>
      <c r="F15" s="1">
        <f t="shared" si="2"/>
        <v>782.12</v>
      </c>
      <c r="H15" s="1">
        <f t="shared" si="1"/>
        <v>369506.25</v>
      </c>
    </row>
    <row r="16" spans="1:8" hidden="1" x14ac:dyDescent="0.2">
      <c r="A16" s="6">
        <f>'FERC Interest Rates'!A24</f>
        <v>41729</v>
      </c>
      <c r="D16" s="1">
        <f>29106+31118.65+3784.88+809.8+30132.6</f>
        <v>94951.93</v>
      </c>
      <c r="F16" s="1">
        <f t="shared" si="2"/>
        <v>1019.94</v>
      </c>
      <c r="H16" s="1">
        <f t="shared" si="1"/>
        <v>465478.12</v>
      </c>
    </row>
    <row r="17" spans="1:8" hidden="1" x14ac:dyDescent="0.2">
      <c r="A17" s="6">
        <f>'FERC Interest Rates'!A25</f>
        <v>41759</v>
      </c>
      <c r="D17" s="1">
        <v>49856.55</v>
      </c>
      <c r="F17" s="1">
        <f t="shared" si="2"/>
        <v>1243.4000000000001</v>
      </c>
      <c r="H17" s="1">
        <f t="shared" si="1"/>
        <v>516578.07</v>
      </c>
    </row>
    <row r="18" spans="1:8" hidden="1" x14ac:dyDescent="0.2">
      <c r="A18" s="6">
        <f>'FERC Interest Rates'!A26</f>
        <v>41790</v>
      </c>
      <c r="D18" s="1">
        <v>48539.6</v>
      </c>
      <c r="F18" s="1">
        <f t="shared" si="2"/>
        <v>1425.9</v>
      </c>
      <c r="H18" s="1">
        <f t="shared" si="1"/>
        <v>566543.57000000007</v>
      </c>
    </row>
    <row r="19" spans="1:8" hidden="1" x14ac:dyDescent="0.2">
      <c r="A19" s="6">
        <f>'FERC Interest Rates'!A27</f>
        <v>41820</v>
      </c>
      <c r="D19" s="1">
        <v>24694.05</v>
      </c>
      <c r="F19" s="1">
        <f t="shared" si="2"/>
        <v>1513.37</v>
      </c>
      <c r="H19" s="1">
        <f t="shared" si="1"/>
        <v>592750.99000000011</v>
      </c>
    </row>
    <row r="20" spans="1:8" hidden="1" x14ac:dyDescent="0.2">
      <c r="A20" s="6">
        <f>'FERC Interest Rates'!A28</f>
        <v>41851</v>
      </c>
      <c r="D20" s="1">
        <v>13413.5</v>
      </c>
      <c r="F20" s="1">
        <f t="shared" si="2"/>
        <v>1636.16</v>
      </c>
      <c r="H20" s="1">
        <f t="shared" si="1"/>
        <v>607800.65000000014</v>
      </c>
    </row>
    <row r="21" spans="1:8" hidden="1" x14ac:dyDescent="0.2">
      <c r="A21" s="6">
        <f>'FERC Interest Rates'!A29</f>
        <v>41882</v>
      </c>
      <c r="D21" s="1">
        <v>27540.36</v>
      </c>
      <c r="F21" s="1">
        <f t="shared" si="2"/>
        <v>1677.7</v>
      </c>
      <c r="H21" s="1">
        <f t="shared" si="1"/>
        <v>637018.7100000002</v>
      </c>
    </row>
    <row r="22" spans="1:8" hidden="1" x14ac:dyDescent="0.2">
      <c r="A22" s="6">
        <f>'FERC Interest Rates'!A30</f>
        <v>41912</v>
      </c>
      <c r="D22" s="1">
        <v>66107.7</v>
      </c>
      <c r="F22" s="1">
        <f t="shared" si="2"/>
        <v>1701.63</v>
      </c>
      <c r="H22" s="1">
        <f t="shared" si="1"/>
        <v>704828.04000000015</v>
      </c>
    </row>
    <row r="23" spans="1:8" hidden="1" x14ac:dyDescent="0.2">
      <c r="A23" s="6">
        <f>'FERC Interest Rates'!A31</f>
        <v>41943</v>
      </c>
      <c r="D23" s="1">
        <v>20456.349999999999</v>
      </c>
      <c r="F23" s="1">
        <f t="shared" si="2"/>
        <v>1945.52</v>
      </c>
      <c r="H23" s="1">
        <f t="shared" si="1"/>
        <v>727229.91000000015</v>
      </c>
    </row>
    <row r="24" spans="1:8" hidden="1" x14ac:dyDescent="0.2">
      <c r="A24" s="528" t="s">
        <v>83</v>
      </c>
      <c r="B24" s="528"/>
      <c r="C24" s="528"/>
      <c r="D24" s="528"/>
      <c r="E24" s="528"/>
      <c r="F24" s="528"/>
      <c r="G24" s="1">
        <v>-612793.23</v>
      </c>
      <c r="H24" s="1">
        <f t="shared" si="1"/>
        <v>114436.68000000017</v>
      </c>
    </row>
    <row r="25" spans="1:8" hidden="1" x14ac:dyDescent="0.2">
      <c r="A25" s="6">
        <f>'FERC Interest Rates'!A32</f>
        <v>41973</v>
      </c>
      <c r="D25" s="1">
        <v>21830.57</v>
      </c>
      <c r="F25" s="1">
        <f>ROUND(H24*VLOOKUP(A25,FERCINT14,2)/365*VLOOKUP(A25,FERCINT14,3),2)</f>
        <v>305.69</v>
      </c>
      <c r="H25" s="1">
        <f t="shared" si="1"/>
        <v>136572.94000000018</v>
      </c>
    </row>
    <row r="26" spans="1:8" hidden="1" x14ac:dyDescent="0.2">
      <c r="A26" s="6">
        <f>'FERC Interest Rates'!A33</f>
        <v>42004</v>
      </c>
      <c r="D26" s="1">
        <v>18309.650000000001</v>
      </c>
      <c r="F26" s="1">
        <f>ROUND(H25*VLOOKUP(A26,FERCINT14,2)/365*VLOOKUP(A26,FERCINT14,3),2)</f>
        <v>376.98</v>
      </c>
      <c r="H26" s="1">
        <f t="shared" si="1"/>
        <v>155259.57000000018</v>
      </c>
    </row>
    <row r="27" spans="1:8" hidden="1" x14ac:dyDescent="0.2">
      <c r="A27" s="6">
        <f>'FERC Interest Rates'!A34</f>
        <v>42035</v>
      </c>
      <c r="D27" s="1">
        <v>78034.990000000005</v>
      </c>
      <c r="F27" s="1">
        <f t="shared" ref="F27:F36" si="3">ROUND(H26*VLOOKUP(A27,FERCINT15,2)/365*VLOOKUP(A27,FERCINT15,3),2)</f>
        <v>428.56</v>
      </c>
      <c r="H27" s="1">
        <f t="shared" si="1"/>
        <v>233723.12000000017</v>
      </c>
    </row>
    <row r="28" spans="1:8" hidden="1" x14ac:dyDescent="0.2">
      <c r="A28" s="6">
        <f>'FERC Interest Rates'!A35</f>
        <v>42063</v>
      </c>
      <c r="D28" s="1">
        <v>37942</v>
      </c>
      <c r="F28" s="1">
        <f t="shared" si="3"/>
        <v>582.71</v>
      </c>
      <c r="H28" s="1">
        <f t="shared" si="1"/>
        <v>272247.83000000019</v>
      </c>
    </row>
    <row r="29" spans="1:8" hidden="1" x14ac:dyDescent="0.2">
      <c r="A29" s="6">
        <f>'FERC Interest Rates'!A36</f>
        <v>42094</v>
      </c>
      <c r="D29" s="1">
        <v>72240.350000000006</v>
      </c>
      <c r="F29" s="1">
        <f t="shared" si="3"/>
        <v>751.48</v>
      </c>
      <c r="H29" s="1">
        <f t="shared" si="1"/>
        <v>345239.66000000021</v>
      </c>
    </row>
    <row r="30" spans="1:8" hidden="1" x14ac:dyDescent="0.2">
      <c r="A30" s="6">
        <f>'FERC Interest Rates'!A37</f>
        <v>42124</v>
      </c>
      <c r="D30" s="1">
        <v>44553.95</v>
      </c>
      <c r="F30" s="1">
        <f t="shared" si="3"/>
        <v>922.22</v>
      </c>
      <c r="H30" s="1">
        <f t="shared" si="1"/>
        <v>390715.83000000019</v>
      </c>
    </row>
    <row r="31" spans="1:8" hidden="1" x14ac:dyDescent="0.2">
      <c r="A31" s="6">
        <f>'FERC Interest Rates'!A38</f>
        <v>42155</v>
      </c>
      <c r="D31" s="1">
        <v>26451.119999999999</v>
      </c>
      <c r="F31" s="1">
        <f t="shared" si="3"/>
        <v>1078.48</v>
      </c>
      <c r="H31" s="1">
        <f t="shared" si="1"/>
        <v>418245.43000000017</v>
      </c>
    </row>
    <row r="32" spans="1:8" hidden="1" x14ac:dyDescent="0.2">
      <c r="A32" s="6">
        <f>'FERC Interest Rates'!A39</f>
        <v>42185</v>
      </c>
      <c r="D32" s="1">
        <v>29239.200000000001</v>
      </c>
      <c r="F32" s="1">
        <f t="shared" si="3"/>
        <v>1117.23</v>
      </c>
      <c r="H32" s="1">
        <f t="shared" si="1"/>
        <v>448601.86000000016</v>
      </c>
    </row>
    <row r="33" spans="1:8" hidden="1" x14ac:dyDescent="0.2">
      <c r="A33" s="6">
        <f>'FERC Interest Rates'!A40</f>
        <v>42216</v>
      </c>
      <c r="D33" s="1">
        <v>56499.4</v>
      </c>
      <c r="F33" s="1">
        <f t="shared" si="3"/>
        <v>1238.26</v>
      </c>
      <c r="H33" s="1">
        <f t="shared" si="1"/>
        <v>506339.52000000014</v>
      </c>
    </row>
    <row r="34" spans="1:8" hidden="1" x14ac:dyDescent="0.2">
      <c r="A34" s="6">
        <f>'FERC Interest Rates'!A41</f>
        <v>42247</v>
      </c>
      <c r="D34" s="1">
        <v>45176.800000000003</v>
      </c>
      <c r="F34" s="1">
        <f t="shared" si="3"/>
        <v>1397.64</v>
      </c>
      <c r="H34" s="1">
        <f t="shared" si="1"/>
        <v>552913.9600000002</v>
      </c>
    </row>
    <row r="35" spans="1:8" hidden="1" x14ac:dyDescent="0.2">
      <c r="A35" s="6">
        <f>'FERC Interest Rates'!A42</f>
        <v>42277</v>
      </c>
      <c r="D35" s="1">
        <v>18010.5</v>
      </c>
      <c r="F35" s="1">
        <f t="shared" si="3"/>
        <v>1476.96</v>
      </c>
      <c r="H35" s="1">
        <f t="shared" si="1"/>
        <v>572401.42000000016</v>
      </c>
    </row>
    <row r="36" spans="1:8" hidden="1" x14ac:dyDescent="0.2">
      <c r="A36" s="6">
        <f>'FERC Interest Rates'!A43</f>
        <v>42308</v>
      </c>
      <c r="D36" s="1">
        <v>44723.15</v>
      </c>
      <c r="F36" s="1">
        <f t="shared" si="3"/>
        <v>1579.98</v>
      </c>
      <c r="H36" s="1">
        <f t="shared" si="1"/>
        <v>618704.55000000016</v>
      </c>
    </row>
    <row r="37" spans="1:8" hidden="1" x14ac:dyDescent="0.2">
      <c r="A37" s="6">
        <f>'FERC Interest Rates'!A44</f>
        <v>42338</v>
      </c>
      <c r="D37" s="1">
        <v>14074.8</v>
      </c>
      <c r="F37" s="1">
        <f t="shared" ref="F37:F39" si="4">ROUND(H36*VLOOKUP(A37,FERCINT15,2)/365*VLOOKUP(A37,FERCINT15,3),2)</f>
        <v>1652.7</v>
      </c>
      <c r="H37" s="1">
        <f t="shared" ref="H37:H75" si="5">+SUM(D37:G37)+H36</f>
        <v>634432.05000000016</v>
      </c>
    </row>
    <row r="38" spans="1:8" hidden="1" x14ac:dyDescent="0.2">
      <c r="A38" s="528" t="s">
        <v>87</v>
      </c>
      <c r="B38" s="528"/>
      <c r="C38" s="528"/>
      <c r="D38" s="528"/>
      <c r="E38" s="528"/>
      <c r="F38" s="528"/>
      <c r="G38" s="1">
        <v>-511862.34</v>
      </c>
      <c r="H38" s="1">
        <f t="shared" si="5"/>
        <v>122569.71000000014</v>
      </c>
    </row>
    <row r="39" spans="1:8" hidden="1" x14ac:dyDescent="0.2">
      <c r="A39" s="6">
        <f>'FERC Interest Rates'!A45</f>
        <v>42369</v>
      </c>
      <c r="D39" s="1">
        <v>22978.2</v>
      </c>
      <c r="F39" s="1">
        <f t="shared" si="4"/>
        <v>338.33</v>
      </c>
      <c r="H39" s="1">
        <f t="shared" si="5"/>
        <v>145886.24000000014</v>
      </c>
    </row>
    <row r="40" spans="1:8" hidden="1" x14ac:dyDescent="0.2">
      <c r="A40" s="6">
        <f>'FERC Interest Rates'!A46</f>
        <v>42400</v>
      </c>
      <c r="D40" s="1">
        <v>90067.05</v>
      </c>
      <c r="F40" s="1">
        <f t="shared" ref="F40:F52" si="6">ROUND(H39*VLOOKUP(A40,FERCINT16,2)/365*VLOOKUP(A40,FERCINT16,3),2)</f>
        <v>402.69</v>
      </c>
      <c r="H40" s="1">
        <f t="shared" si="5"/>
        <v>236355.98000000016</v>
      </c>
    </row>
    <row r="41" spans="1:8" hidden="1" x14ac:dyDescent="0.2">
      <c r="A41" s="6">
        <f>'FERC Interest Rates'!A47</f>
        <v>42429</v>
      </c>
      <c r="D41" s="1">
        <v>24303.35</v>
      </c>
      <c r="F41" s="1">
        <f t="shared" si="6"/>
        <v>610.32000000000005</v>
      </c>
      <c r="H41" s="1">
        <f t="shared" si="5"/>
        <v>261269.65000000014</v>
      </c>
    </row>
    <row r="42" spans="1:8" hidden="1" x14ac:dyDescent="0.2">
      <c r="A42" s="6">
        <f>'FERC Interest Rates'!A48</f>
        <v>42460</v>
      </c>
      <c r="D42" s="1">
        <v>33571.15</v>
      </c>
      <c r="F42" s="1">
        <f t="shared" si="6"/>
        <v>721.18</v>
      </c>
      <c r="H42" s="1">
        <f t="shared" si="5"/>
        <v>295561.98000000016</v>
      </c>
    </row>
    <row r="43" spans="1:8" hidden="1" x14ac:dyDescent="0.2">
      <c r="A43" s="6">
        <f>'FERC Interest Rates'!A49</f>
        <v>42490</v>
      </c>
      <c r="D43" s="1">
        <v>24642.5</v>
      </c>
      <c r="F43" s="1">
        <f t="shared" si="6"/>
        <v>840.53</v>
      </c>
      <c r="H43" s="1">
        <f t="shared" si="5"/>
        <v>321045.01000000013</v>
      </c>
    </row>
    <row r="44" spans="1:8" hidden="1" x14ac:dyDescent="0.2">
      <c r="A44" s="6">
        <f>'FERC Interest Rates'!A50</f>
        <v>42521</v>
      </c>
      <c r="D44" s="1">
        <v>20473.349999999999</v>
      </c>
      <c r="F44" s="1">
        <f t="shared" si="6"/>
        <v>943.43</v>
      </c>
      <c r="H44" s="1">
        <f t="shared" si="5"/>
        <v>342461.79000000015</v>
      </c>
    </row>
    <row r="45" spans="1:8" hidden="1" x14ac:dyDescent="0.2">
      <c r="A45" s="6">
        <f>'FERC Interest Rates'!A51</f>
        <v>42551</v>
      </c>
      <c r="D45" s="1">
        <v>73125.02</v>
      </c>
      <c r="F45" s="1">
        <f t="shared" si="6"/>
        <v>973.91</v>
      </c>
      <c r="H45" s="1">
        <f t="shared" si="5"/>
        <v>416560.72000000015</v>
      </c>
    </row>
    <row r="46" spans="1:8" hidden="1" x14ac:dyDescent="0.2">
      <c r="A46" s="6">
        <f>'FERC Interest Rates'!A52</f>
        <v>42582</v>
      </c>
      <c r="D46" s="1">
        <f>21555.92-1238.27</f>
        <v>20317.649999999998</v>
      </c>
      <c r="F46" s="1">
        <f t="shared" si="6"/>
        <v>1238.27</v>
      </c>
      <c r="H46" s="1">
        <f t="shared" si="5"/>
        <v>438116.64000000013</v>
      </c>
    </row>
    <row r="47" spans="1:8" hidden="1" x14ac:dyDescent="0.2">
      <c r="A47" s="6">
        <f>'FERC Interest Rates'!A53</f>
        <v>42613</v>
      </c>
      <c r="D47" s="1">
        <f>44092.2-1302.35</f>
        <v>42789.85</v>
      </c>
      <c r="F47" s="1">
        <f t="shared" si="6"/>
        <v>1302.3499999999999</v>
      </c>
      <c r="H47" s="1">
        <f t="shared" si="5"/>
        <v>482208.84000000014</v>
      </c>
    </row>
    <row r="48" spans="1:8" hidden="1" x14ac:dyDescent="0.2">
      <c r="A48" s="6">
        <f>'FERC Interest Rates'!A54</f>
        <v>42643</v>
      </c>
      <c r="D48" s="1">
        <f>43161.73-1387.18</f>
        <v>41774.550000000003</v>
      </c>
      <c r="F48" s="1">
        <f t="shared" si="6"/>
        <v>1387.18</v>
      </c>
      <c r="H48" s="1">
        <f t="shared" si="5"/>
        <v>525370.57000000018</v>
      </c>
    </row>
    <row r="49" spans="1:8" hidden="1" x14ac:dyDescent="0.2">
      <c r="A49" s="6">
        <f>'FERC Interest Rates'!A55</f>
        <v>42674</v>
      </c>
      <c r="D49" s="1">
        <f>47970.22-1561.72</f>
        <v>46408.5</v>
      </c>
      <c r="F49" s="1">
        <f t="shared" si="6"/>
        <v>1561.72</v>
      </c>
      <c r="H49" s="1">
        <f t="shared" si="5"/>
        <v>573340.79000000015</v>
      </c>
    </row>
    <row r="50" spans="1:8" hidden="1" x14ac:dyDescent="0.2">
      <c r="A50" s="528" t="s">
        <v>101</v>
      </c>
      <c r="B50" s="528"/>
      <c r="C50" s="528"/>
      <c r="D50" s="528"/>
      <c r="E50" s="528"/>
      <c r="F50" s="528"/>
      <c r="G50" s="1">
        <v>-441993.05</v>
      </c>
      <c r="H50" s="1">
        <f t="shared" si="5"/>
        <v>131347.74000000017</v>
      </c>
    </row>
    <row r="51" spans="1:8" hidden="1" x14ac:dyDescent="0.2">
      <c r="A51" s="6">
        <f>'FERC Interest Rates'!A56</f>
        <v>42704</v>
      </c>
      <c r="D51" s="1">
        <v>39639.699999999997</v>
      </c>
      <c r="F51" s="1">
        <f t="shared" si="6"/>
        <v>377.85</v>
      </c>
      <c r="H51" s="1">
        <f t="shared" si="5"/>
        <v>171365.29000000015</v>
      </c>
    </row>
    <row r="52" spans="1:8" hidden="1" x14ac:dyDescent="0.2">
      <c r="A52" s="6">
        <f>'FERC Interest Rates'!A57</f>
        <v>42735</v>
      </c>
      <c r="D52" s="1">
        <f>24154.85-509.4-377.85</f>
        <v>23267.599999999999</v>
      </c>
      <c r="F52" s="1">
        <f t="shared" si="6"/>
        <v>509.4</v>
      </c>
      <c r="H52" s="1">
        <f t="shared" si="5"/>
        <v>195142.29000000015</v>
      </c>
    </row>
    <row r="53" spans="1:8" hidden="1" x14ac:dyDescent="0.2">
      <c r="A53" s="6">
        <f>'FERC Interest Rates'!A58</f>
        <v>42766</v>
      </c>
      <c r="D53" s="1">
        <f>22372.88-580.08</f>
        <v>21792.799999999999</v>
      </c>
      <c r="F53" s="1">
        <f t="shared" ref="F53:F62" si="7">ROUND(H52*VLOOKUP(A53,FERCINT17,2)/365*VLOOKUP(A53,FERCINT17,3),2)</f>
        <v>580.08000000000004</v>
      </c>
      <c r="H53" s="1">
        <f t="shared" si="5"/>
        <v>217515.17000000016</v>
      </c>
    </row>
    <row r="54" spans="1:8" hidden="1" x14ac:dyDescent="0.2">
      <c r="A54" s="6">
        <f>'FERC Interest Rates'!A59</f>
        <v>42794</v>
      </c>
      <c r="D54" s="1">
        <f>61654.31-584.01</f>
        <v>61070.299999999996</v>
      </c>
      <c r="F54" s="1">
        <f t="shared" si="7"/>
        <v>584.01</v>
      </c>
      <c r="H54" s="1">
        <f t="shared" si="5"/>
        <v>279169.48000000016</v>
      </c>
    </row>
    <row r="55" spans="1:8" hidden="1" x14ac:dyDescent="0.2">
      <c r="A55" s="6">
        <f>'FERC Interest Rates'!A60</f>
        <v>42825</v>
      </c>
      <c r="D55" s="1">
        <v>73979.3</v>
      </c>
      <c r="F55" s="1">
        <f t="shared" si="7"/>
        <v>829.86</v>
      </c>
      <c r="H55" s="1">
        <f t="shared" si="5"/>
        <v>353978.64000000013</v>
      </c>
    </row>
    <row r="56" spans="1:8" hidden="1" x14ac:dyDescent="0.2">
      <c r="A56" s="6">
        <f>'FERC Interest Rates'!A61</f>
        <v>42855</v>
      </c>
      <c r="D56" s="1">
        <f>53972.34-1079.39-500</f>
        <v>52392.95</v>
      </c>
      <c r="F56" s="1">
        <f t="shared" si="7"/>
        <v>1079.3900000000001</v>
      </c>
      <c r="H56" s="1">
        <f t="shared" si="5"/>
        <v>407450.9800000001</v>
      </c>
    </row>
    <row r="57" spans="1:8" hidden="1" x14ac:dyDescent="0.2">
      <c r="A57" s="6">
        <f>'FERC Interest Rates'!A62</f>
        <v>42886</v>
      </c>
      <c r="D57" s="1">
        <f>102558.31-1283.86</f>
        <v>101274.45</v>
      </c>
      <c r="F57" s="1">
        <f t="shared" si="7"/>
        <v>1283.8599999999999</v>
      </c>
      <c r="H57" s="1">
        <f t="shared" si="5"/>
        <v>510009.2900000001</v>
      </c>
    </row>
    <row r="58" spans="1:8" hidden="1" x14ac:dyDescent="0.2">
      <c r="A58" s="6">
        <f>'FERC Interest Rates'!A63</f>
        <v>42916</v>
      </c>
      <c r="D58" s="1">
        <f>73340.63-1555.18</f>
        <v>71785.450000000012</v>
      </c>
      <c r="F58" s="1">
        <f t="shared" si="7"/>
        <v>1555.18</v>
      </c>
      <c r="H58" s="1">
        <f t="shared" si="5"/>
        <v>583349.92000000016</v>
      </c>
    </row>
    <row r="59" spans="1:8" hidden="1" x14ac:dyDescent="0.2">
      <c r="A59" s="6">
        <f>'FERC Interest Rates'!A64</f>
        <v>42947</v>
      </c>
      <c r="D59" s="1">
        <f>78793.37-1055.35-1961.97</f>
        <v>75776.049999999988</v>
      </c>
      <c r="F59" s="1">
        <f t="shared" si="7"/>
        <v>1961.97</v>
      </c>
      <c r="H59" s="1">
        <f t="shared" si="5"/>
        <v>661087.94000000018</v>
      </c>
    </row>
    <row r="60" spans="1:8" hidden="1" x14ac:dyDescent="0.2">
      <c r="A60" s="6">
        <f>'FERC Interest Rates'!A65</f>
        <v>42978</v>
      </c>
      <c r="D60" s="1">
        <f>77626.88-250-2223.43</f>
        <v>75153.450000000012</v>
      </c>
      <c r="F60" s="1">
        <f t="shared" si="7"/>
        <v>2223.4299999999998</v>
      </c>
      <c r="H60" s="1">
        <f t="shared" si="5"/>
        <v>738464.82000000018</v>
      </c>
    </row>
    <row r="61" spans="1:8" hidden="1" x14ac:dyDescent="0.2">
      <c r="A61" s="6">
        <f>'FERC Interest Rates'!A66</f>
        <v>43008</v>
      </c>
      <c r="D61" s="1">
        <f>120516.7-2403.55</f>
        <v>118113.15</v>
      </c>
      <c r="F61" s="1">
        <f t="shared" si="7"/>
        <v>2403.5500000000002</v>
      </c>
      <c r="H61" s="1">
        <f t="shared" si="5"/>
        <v>858981.52000000014</v>
      </c>
    </row>
    <row r="62" spans="1:8" hidden="1" x14ac:dyDescent="0.2">
      <c r="A62" s="6">
        <f>'FERC Interest Rates'!A67</f>
        <v>43039</v>
      </c>
      <c r="D62" s="1">
        <f>131763.09-3071.39</f>
        <v>128691.7</v>
      </c>
      <c r="F62" s="1">
        <f t="shared" si="7"/>
        <v>3071.39</v>
      </c>
      <c r="H62" s="1">
        <f t="shared" si="5"/>
        <v>990744.6100000001</v>
      </c>
    </row>
    <row r="63" spans="1:8" hidden="1" x14ac:dyDescent="0.2">
      <c r="A63" s="528" t="s">
        <v>101</v>
      </c>
      <c r="B63" s="528"/>
      <c r="C63" s="528"/>
      <c r="D63" s="528"/>
      <c r="E63" s="528"/>
      <c r="F63" s="528"/>
      <c r="G63" s="1">
        <v>-667849.78</v>
      </c>
      <c r="H63" s="1">
        <f t="shared" si="5"/>
        <v>322894.83000000007</v>
      </c>
    </row>
    <row r="64" spans="1:8" hidden="1" x14ac:dyDescent="0.2">
      <c r="A64" s="6">
        <f>'FERC Interest Rates'!A68</f>
        <v>43069</v>
      </c>
      <c r="D64" s="1">
        <f>139687.5-28631-3428.25</f>
        <v>107628.25</v>
      </c>
      <c r="F64" s="1">
        <f>ROUND(H63*VLOOKUP(A64,FERCINT17,2)/365*VLOOKUP(A64,FERCINT17,3),2)</f>
        <v>1117.3</v>
      </c>
      <c r="H64" s="1">
        <f t="shared" si="5"/>
        <v>431640.38000000006</v>
      </c>
    </row>
    <row r="65" spans="1:8" hidden="1" x14ac:dyDescent="0.2">
      <c r="A65" s="6">
        <f>'FERC Interest Rates'!A69</f>
        <v>43100</v>
      </c>
      <c r="D65" s="1">
        <f>270204.88-1543.38-1326</f>
        <v>267335.5</v>
      </c>
      <c r="F65" s="1">
        <f>ROUND(H64*VLOOKUP(A65,FERCINT17,2)/365*VLOOKUP(A65,FERCINT17,3),2)</f>
        <v>1543.38</v>
      </c>
      <c r="H65" s="1">
        <f t="shared" si="5"/>
        <v>700519.26</v>
      </c>
    </row>
    <row r="66" spans="1:8" hidden="1" x14ac:dyDescent="0.2">
      <c r="A66" s="6">
        <f>'FERC Interest Rates'!A70</f>
        <v>43131</v>
      </c>
      <c r="D66" s="1">
        <v>105703</v>
      </c>
      <c r="F66" s="1">
        <f t="shared" ref="F66:F78" si="8">ROUND(H65*VLOOKUP(A66,FERCINT18,2)/365*VLOOKUP(A66,FERCINT18,3),2)</f>
        <v>2528.59</v>
      </c>
      <c r="H66" s="1">
        <f t="shared" si="5"/>
        <v>808750.85</v>
      </c>
    </row>
    <row r="67" spans="1:8" hidden="1" x14ac:dyDescent="0.2">
      <c r="A67" s="6">
        <f>'FERC Interest Rates'!A71</f>
        <v>43159</v>
      </c>
      <c r="D67" s="1">
        <v>144603.5</v>
      </c>
      <c r="F67" s="1">
        <f t="shared" si="8"/>
        <v>2636.75</v>
      </c>
      <c r="H67" s="1">
        <f t="shared" si="5"/>
        <v>955991.1</v>
      </c>
    </row>
    <row r="68" spans="1:8" hidden="1" x14ac:dyDescent="0.2">
      <c r="A68" s="6">
        <f>'FERC Interest Rates'!A72</f>
        <v>43190</v>
      </c>
      <c r="D68" s="1">
        <v>144000.65</v>
      </c>
      <c r="F68" s="1">
        <f t="shared" si="8"/>
        <v>3450.73</v>
      </c>
      <c r="H68" s="1">
        <f t="shared" si="5"/>
        <v>1103442.48</v>
      </c>
    </row>
    <row r="69" spans="1:8" hidden="1" x14ac:dyDescent="0.2">
      <c r="A69" s="6">
        <f>'FERC Interest Rates'!A73</f>
        <v>43220</v>
      </c>
      <c r="D69" s="1">
        <v>228192.75</v>
      </c>
      <c r="F69" s="1">
        <f t="shared" si="8"/>
        <v>4054.02</v>
      </c>
      <c r="H69" s="1">
        <f t="shared" si="5"/>
        <v>1335689.25</v>
      </c>
    </row>
    <row r="70" spans="1:8" hidden="1" x14ac:dyDescent="0.2">
      <c r="A70" s="6">
        <f>'FERC Interest Rates'!A74</f>
        <v>43251</v>
      </c>
      <c r="D70" s="1">
        <v>250114</v>
      </c>
      <c r="F70" s="1">
        <f t="shared" si="8"/>
        <v>5070.8599999999997</v>
      </c>
      <c r="H70" s="1">
        <f t="shared" si="5"/>
        <v>1590874.1099999999</v>
      </c>
    </row>
    <row r="71" spans="1:8" hidden="1" x14ac:dyDescent="0.2">
      <c r="A71" s="6">
        <f>'FERC Interest Rates'!A75</f>
        <v>43281</v>
      </c>
      <c r="D71" s="1">
        <v>253400.25</v>
      </c>
      <c r="F71" s="1">
        <f t="shared" si="8"/>
        <v>5844.83</v>
      </c>
      <c r="H71" s="1">
        <f t="shared" si="5"/>
        <v>1850119.19</v>
      </c>
    </row>
    <row r="72" spans="1:8" hidden="1" x14ac:dyDescent="0.2">
      <c r="A72" s="6">
        <f>'FERC Interest Rates'!A76</f>
        <v>43312</v>
      </c>
      <c r="D72" s="1">
        <v>289291.75</v>
      </c>
      <c r="F72" s="1">
        <f t="shared" si="8"/>
        <v>7369.56</v>
      </c>
      <c r="H72" s="1">
        <f t="shared" si="5"/>
        <v>2146780.5</v>
      </c>
    </row>
    <row r="73" spans="1:8" hidden="1" x14ac:dyDescent="0.2">
      <c r="A73" s="6">
        <f>'FERC Interest Rates'!A77</f>
        <v>43343</v>
      </c>
      <c r="D73" s="1">
        <v>234419.5</v>
      </c>
      <c r="F73" s="1">
        <f t="shared" si="8"/>
        <v>8551.24</v>
      </c>
      <c r="H73" s="1">
        <f t="shared" si="5"/>
        <v>2389751.2400000002</v>
      </c>
    </row>
    <row r="74" spans="1:8" hidden="1" x14ac:dyDescent="0.2">
      <c r="A74" s="6">
        <f>'FERC Interest Rates'!A78</f>
        <v>43373</v>
      </c>
      <c r="D74" s="1">
        <v>209083.25</v>
      </c>
      <c r="F74" s="1">
        <f t="shared" si="8"/>
        <v>9212</v>
      </c>
      <c r="H74" s="1">
        <f t="shared" si="5"/>
        <v>2608046.4900000002</v>
      </c>
    </row>
    <row r="75" spans="1:8" hidden="1" x14ac:dyDescent="0.2">
      <c r="A75" s="6">
        <f>'FERC Interest Rates'!A79</f>
        <v>43404</v>
      </c>
      <c r="D75" s="1">
        <v>218477.25</v>
      </c>
      <c r="F75" s="1">
        <f t="shared" si="8"/>
        <v>10986.66</v>
      </c>
      <c r="H75" s="1">
        <f t="shared" si="5"/>
        <v>2837510.4000000004</v>
      </c>
    </row>
    <row r="76" spans="1:8" hidden="1" x14ac:dyDescent="0.2">
      <c r="A76" s="528" t="s">
        <v>101</v>
      </c>
      <c r="B76" s="528"/>
      <c r="C76" s="528"/>
      <c r="D76" s="528"/>
      <c r="E76" s="528"/>
      <c r="F76" s="528"/>
      <c r="G76" s="1">
        <v>-2172754.66</v>
      </c>
      <c r="H76" s="1">
        <f t="shared" ref="H76:H88" si="9">+SUM(D76:G76)+H75</f>
        <v>664755.74000000022</v>
      </c>
    </row>
    <row r="77" spans="1:8" hidden="1" x14ac:dyDescent="0.2">
      <c r="A77" s="6">
        <f>'FERC Interest Rates'!A80</f>
        <v>43434</v>
      </c>
      <c r="D77" s="1">
        <v>178840.25</v>
      </c>
      <c r="F77" s="1">
        <f t="shared" si="8"/>
        <v>2710.02</v>
      </c>
      <c r="H77" s="1">
        <f t="shared" si="9"/>
        <v>846306.01000000024</v>
      </c>
    </row>
    <row r="78" spans="1:8" hidden="1" x14ac:dyDescent="0.2">
      <c r="A78" s="6">
        <f>'FERC Interest Rates'!A81</f>
        <v>43465</v>
      </c>
      <c r="D78" s="1">
        <v>220767.75</v>
      </c>
      <c r="F78" s="1">
        <f t="shared" si="8"/>
        <v>3565.15</v>
      </c>
      <c r="H78" s="1">
        <f t="shared" si="9"/>
        <v>1070638.9100000001</v>
      </c>
    </row>
    <row r="79" spans="1:8" hidden="1" x14ac:dyDescent="0.2">
      <c r="A79" s="6">
        <f>'FERC Interest Rates'!A82</f>
        <v>43496</v>
      </c>
      <c r="D79" s="1">
        <v>235311.5</v>
      </c>
      <c r="F79" s="1">
        <f t="shared" ref="F79:F88" si="10">ROUND(H78*VLOOKUP(A79,FERCINT19,2)/365*VLOOKUP(A79,FERCINT19,3),2)</f>
        <v>4710.22</v>
      </c>
      <c r="H79" s="1">
        <f t="shared" si="9"/>
        <v>1310660.6300000001</v>
      </c>
    </row>
    <row r="80" spans="1:8" hidden="1" x14ac:dyDescent="0.2">
      <c r="A80" s="6">
        <f>'FERC Interest Rates'!A83</f>
        <v>43524</v>
      </c>
      <c r="D80" s="1">
        <v>188649.5</v>
      </c>
      <c r="F80" s="1">
        <f t="shared" si="10"/>
        <v>5208.17</v>
      </c>
      <c r="H80" s="1">
        <f t="shared" si="9"/>
        <v>1504518.3</v>
      </c>
    </row>
    <row r="81" spans="1:8" hidden="1" x14ac:dyDescent="0.2">
      <c r="A81" s="6">
        <f>'FERC Interest Rates'!A84</f>
        <v>43555</v>
      </c>
      <c r="D81" s="1">
        <v>142898</v>
      </c>
      <c r="F81" s="1">
        <f t="shared" si="10"/>
        <v>6619.06</v>
      </c>
      <c r="H81" s="1">
        <f t="shared" si="9"/>
        <v>1654035.36</v>
      </c>
    </row>
    <row r="82" spans="1:8" hidden="1" x14ac:dyDescent="0.2">
      <c r="A82" s="6">
        <f>'FERC Interest Rates'!A85</f>
        <v>43585</v>
      </c>
      <c r="D82" s="1">
        <v>260434.89</v>
      </c>
      <c r="F82" s="1">
        <f t="shared" si="10"/>
        <v>7409.17</v>
      </c>
      <c r="H82" s="1">
        <f t="shared" si="9"/>
        <v>1921879.4200000002</v>
      </c>
    </row>
    <row r="83" spans="1:8" hidden="1" x14ac:dyDescent="0.2">
      <c r="A83" s="6">
        <f>'FERC Interest Rates'!A86</f>
        <v>43616</v>
      </c>
      <c r="D83" s="1">
        <v>185922</v>
      </c>
      <c r="F83" s="1">
        <f t="shared" si="10"/>
        <v>8895.93</v>
      </c>
      <c r="H83" s="1">
        <f t="shared" si="9"/>
        <v>2116697.35</v>
      </c>
    </row>
    <row r="84" spans="1:8" hidden="1" x14ac:dyDescent="0.2">
      <c r="A84" s="6">
        <f>'FERC Interest Rates'!A87</f>
        <v>43646</v>
      </c>
      <c r="B84" s="162"/>
      <c r="C84" s="162"/>
      <c r="D84" s="1">
        <v>173010.15</v>
      </c>
      <c r="E84" s="162"/>
      <c r="F84" s="1">
        <f t="shared" si="10"/>
        <v>9481.64</v>
      </c>
      <c r="H84" s="1">
        <f t="shared" si="9"/>
        <v>2299189.14</v>
      </c>
    </row>
    <row r="85" spans="1:8" hidden="1" x14ac:dyDescent="0.2">
      <c r="A85" s="6">
        <f>'FERC Interest Rates'!A88</f>
        <v>43677</v>
      </c>
      <c r="B85" s="162"/>
      <c r="C85" s="162"/>
      <c r="D85" s="1">
        <v>177642.5</v>
      </c>
      <c r="E85" s="162"/>
      <c r="F85" s="1">
        <f t="shared" si="10"/>
        <v>10740.05</v>
      </c>
      <c r="H85" s="1">
        <f t="shared" si="9"/>
        <v>2487571.69</v>
      </c>
    </row>
    <row r="86" spans="1:8" hidden="1" x14ac:dyDescent="0.2">
      <c r="A86" s="6">
        <f>'FERC Interest Rates'!A89</f>
        <v>43708</v>
      </c>
      <c r="B86" s="162"/>
      <c r="C86" s="162"/>
      <c r="D86" s="1">
        <v>150400.85</v>
      </c>
      <c r="E86" s="162"/>
      <c r="F86" s="1">
        <f t="shared" si="10"/>
        <v>11620.03</v>
      </c>
      <c r="H86" s="1">
        <f t="shared" si="9"/>
        <v>2649592.5699999998</v>
      </c>
    </row>
    <row r="87" spans="1:8" hidden="1" x14ac:dyDescent="0.2">
      <c r="A87" s="6">
        <f>'FERC Interest Rates'!A90</f>
        <v>43738</v>
      </c>
      <c r="B87" s="162"/>
      <c r="C87" s="162"/>
      <c r="D87" s="1">
        <v>192093.73</v>
      </c>
      <c r="E87" s="162"/>
      <c r="F87" s="1">
        <f t="shared" si="10"/>
        <v>11977.61</v>
      </c>
      <c r="H87" s="1">
        <f t="shared" si="9"/>
        <v>2853663.9099999997</v>
      </c>
    </row>
    <row r="88" spans="1:8" hidden="1" x14ac:dyDescent="0.2">
      <c r="A88" s="6">
        <f>'FERC Interest Rates'!A91</f>
        <v>43769</v>
      </c>
      <c r="B88" s="162"/>
      <c r="C88" s="162"/>
      <c r="D88" s="1">
        <v>181875.7</v>
      </c>
      <c r="E88" s="162"/>
      <c r="F88" s="1">
        <f t="shared" si="10"/>
        <v>13136.24</v>
      </c>
      <c r="H88" s="1">
        <f t="shared" si="9"/>
        <v>3048675.8499999996</v>
      </c>
    </row>
    <row r="89" spans="1:8" x14ac:dyDescent="0.2">
      <c r="A89" s="528" t="s">
        <v>101</v>
      </c>
      <c r="B89" s="528"/>
      <c r="C89" s="528"/>
      <c r="D89" s="528"/>
      <c r="E89" s="528"/>
      <c r="F89" s="528"/>
      <c r="G89" s="1">
        <v>-2522045.9500000002</v>
      </c>
      <c r="H89" s="1">
        <f t="shared" ref="H89" si="11">+SUM(D89:G89)+H88</f>
        <v>526629.89999999944</v>
      </c>
    </row>
    <row r="90" spans="1:8" x14ac:dyDescent="0.2">
      <c r="A90" s="6">
        <f>'FERC Interest Rates'!A92</f>
        <v>43799</v>
      </c>
      <c r="B90" s="162"/>
      <c r="C90" s="162"/>
      <c r="D90" s="1">
        <v>159074.45000000001</v>
      </c>
      <c r="E90" s="162"/>
      <c r="F90" s="1">
        <f>ROUND(H89*VLOOKUP(A90,FERCINT19,2)/365*VLOOKUP(A90,FERCINT19,3),2)</f>
        <v>2346.0300000000002</v>
      </c>
      <c r="H90" s="1">
        <f>+SUM(D90:G90)+H89</f>
        <v>688050.37999999942</v>
      </c>
    </row>
    <row r="91" spans="1:8" x14ac:dyDescent="0.2">
      <c r="A91" s="6">
        <f>'FERC Interest Rates'!A93</f>
        <v>43830</v>
      </c>
      <c r="B91" s="162"/>
      <c r="C91" s="162"/>
      <c r="D91" s="1">
        <v>190372.41</v>
      </c>
      <c r="E91" s="162"/>
      <c r="F91" s="1">
        <f t="shared" ref="F91" si="12">ROUND(H90*VLOOKUP(A91,FERCINT19,2)/365*VLOOKUP(A91,FERCINT19,3),2)</f>
        <v>3167.29</v>
      </c>
      <c r="H91" s="1">
        <f t="shared" ref="H91:H114" si="13">+SUM(D91:G91)+H90</f>
        <v>881590.07999999938</v>
      </c>
    </row>
    <row r="92" spans="1:8" x14ac:dyDescent="0.2">
      <c r="A92" s="6">
        <f>'FERC Interest Rates'!A94</f>
        <v>43861</v>
      </c>
      <c r="B92" s="162"/>
      <c r="C92" s="162"/>
      <c r="D92" s="1">
        <v>236416.9</v>
      </c>
      <c r="E92" s="162"/>
      <c r="F92" s="1">
        <f t="shared" ref="F92:F104" si="14">ROUND(H91*VLOOKUP(A92,FERCINT20,2)/365*VLOOKUP(A92,FERCINT20,3),2)</f>
        <v>3713.79</v>
      </c>
      <c r="H92" s="1">
        <f t="shared" si="13"/>
        <v>1121720.7699999993</v>
      </c>
    </row>
    <row r="93" spans="1:8" x14ac:dyDescent="0.2">
      <c r="A93" s="6">
        <f>'FERC Interest Rates'!A95</f>
        <v>43890</v>
      </c>
      <c r="B93" s="162"/>
      <c r="C93" s="162"/>
      <c r="D93" s="1">
        <v>117081.5</v>
      </c>
      <c r="E93" s="162"/>
      <c r="F93" s="1">
        <f t="shared" si="14"/>
        <v>4420.5</v>
      </c>
      <c r="H93" s="1">
        <f t="shared" si="13"/>
        <v>1243222.7699999993</v>
      </c>
    </row>
    <row r="94" spans="1:8" x14ac:dyDescent="0.2">
      <c r="A94" s="6">
        <f>'FERC Interest Rates'!A96</f>
        <v>43921</v>
      </c>
      <c r="B94" s="162"/>
      <c r="C94" s="162"/>
      <c r="D94" s="1">
        <v>277700.39</v>
      </c>
      <c r="E94" s="162"/>
      <c r="F94" s="1">
        <f t="shared" si="14"/>
        <v>5237.2</v>
      </c>
      <c r="H94" s="1">
        <f t="shared" si="13"/>
        <v>1526160.3599999994</v>
      </c>
    </row>
    <row r="95" spans="1:8" x14ac:dyDescent="0.2">
      <c r="A95" s="6">
        <f>'FERC Interest Rates'!A97</f>
        <v>43951</v>
      </c>
      <c r="B95" s="162"/>
      <c r="C95" s="162"/>
      <c r="D95" s="1">
        <v>190791</v>
      </c>
      <c r="E95" s="162"/>
      <c r="F95" s="1">
        <f t="shared" si="14"/>
        <v>5958.3</v>
      </c>
      <c r="H95" s="1">
        <f t="shared" si="13"/>
        <v>1722909.6599999995</v>
      </c>
    </row>
    <row r="96" spans="1:8" x14ac:dyDescent="0.2">
      <c r="A96" s="6">
        <f>'FERC Interest Rates'!A98</f>
        <v>43982</v>
      </c>
      <c r="B96" s="162"/>
      <c r="C96" s="162"/>
      <c r="D96" s="1">
        <v>292034.40000000002</v>
      </c>
      <c r="E96" s="162"/>
      <c r="F96" s="1">
        <f t="shared" si="14"/>
        <v>6950.64</v>
      </c>
      <c r="H96" s="1">
        <f t="shared" si="13"/>
        <v>2021894.6999999995</v>
      </c>
    </row>
    <row r="97" spans="1:8" x14ac:dyDescent="0.2">
      <c r="A97" s="6">
        <f>'FERC Interest Rates'!A99</f>
        <v>44012</v>
      </c>
      <c r="B97" s="162"/>
      <c r="C97" s="162"/>
      <c r="D97" s="1">
        <v>216779.3</v>
      </c>
      <c r="E97" s="162"/>
      <c r="F97" s="1">
        <f t="shared" si="14"/>
        <v>7893.7</v>
      </c>
      <c r="H97" s="1">
        <f t="shared" si="13"/>
        <v>2246567.6999999993</v>
      </c>
    </row>
    <row r="98" spans="1:8" x14ac:dyDescent="0.2">
      <c r="A98" s="6">
        <f>'FERC Interest Rates'!A100</f>
        <v>44043</v>
      </c>
      <c r="B98" s="162"/>
      <c r="C98" s="162"/>
      <c r="D98" s="1">
        <v>145430.39999999999</v>
      </c>
      <c r="E98" s="162"/>
      <c r="F98" s="1">
        <f t="shared" si="14"/>
        <v>6544.59</v>
      </c>
      <c r="H98" s="1">
        <f t="shared" si="13"/>
        <v>2398542.6899999995</v>
      </c>
    </row>
    <row r="99" spans="1:8" x14ac:dyDescent="0.2">
      <c r="A99" s="6">
        <f>'FERC Interest Rates'!A101</f>
        <v>44074</v>
      </c>
      <c r="B99" s="162"/>
      <c r="C99" s="162"/>
      <c r="D99" s="1">
        <v>82398.95</v>
      </c>
      <c r="E99" s="162"/>
      <c r="F99" s="1">
        <f t="shared" si="14"/>
        <v>6987.32</v>
      </c>
      <c r="H99" s="1">
        <f t="shared" si="13"/>
        <v>2487928.9599999995</v>
      </c>
    </row>
    <row r="100" spans="1:8" x14ac:dyDescent="0.2">
      <c r="A100" s="6">
        <f>'FERC Interest Rates'!A102</f>
        <v>44104</v>
      </c>
      <c r="B100" s="162"/>
      <c r="C100" s="162"/>
      <c r="D100" s="1">
        <v>198627.85</v>
      </c>
      <c r="E100" s="162"/>
      <c r="F100" s="1">
        <f t="shared" si="14"/>
        <v>7013.91</v>
      </c>
      <c r="H100" s="1">
        <f t="shared" si="13"/>
        <v>2693570.7199999997</v>
      </c>
    </row>
    <row r="101" spans="1:8" x14ac:dyDescent="0.2">
      <c r="A101" s="6">
        <f>'FERC Interest Rates'!A103</f>
        <v>44135</v>
      </c>
      <c r="B101" s="162"/>
      <c r="C101" s="162"/>
      <c r="D101" s="1">
        <v>177935.7</v>
      </c>
      <c r="E101" s="162"/>
      <c r="F101" s="1">
        <f t="shared" si="14"/>
        <v>7434.99</v>
      </c>
      <c r="H101" s="1">
        <f t="shared" si="13"/>
        <v>2878941.4099999997</v>
      </c>
    </row>
    <row r="102" spans="1:8" x14ac:dyDescent="0.2">
      <c r="A102" s="528" t="s">
        <v>101</v>
      </c>
      <c r="B102" s="528"/>
      <c r="C102" s="528"/>
      <c r="D102" s="528"/>
      <c r="E102" s="528"/>
      <c r="F102" s="528"/>
      <c r="G102" s="146">
        <v>-2418970.27</v>
      </c>
      <c r="H102" s="1">
        <f t="shared" si="13"/>
        <v>459971.13999999966</v>
      </c>
    </row>
    <row r="103" spans="1:8" x14ac:dyDescent="0.2">
      <c r="A103" s="6">
        <f>'FERC Interest Rates'!A104</f>
        <v>44165</v>
      </c>
      <c r="B103" s="162"/>
      <c r="C103" s="162"/>
      <c r="D103" s="1">
        <v>141234.75</v>
      </c>
      <c r="E103" s="162"/>
      <c r="F103" s="1">
        <f t="shared" si="14"/>
        <v>1228.69</v>
      </c>
      <c r="H103" s="1">
        <f t="shared" si="13"/>
        <v>602434.57999999961</v>
      </c>
    </row>
    <row r="104" spans="1:8" x14ac:dyDescent="0.2">
      <c r="A104" s="6">
        <f>'FERC Interest Rates'!A105</f>
        <v>44196</v>
      </c>
      <c r="B104" s="162"/>
      <c r="C104" s="162"/>
      <c r="D104" s="1">
        <v>154653.20000000001</v>
      </c>
      <c r="E104" s="162"/>
      <c r="F104" s="1">
        <f t="shared" si="14"/>
        <v>1662.88</v>
      </c>
      <c r="H104" s="1">
        <f t="shared" si="13"/>
        <v>758750.65999999968</v>
      </c>
    </row>
    <row r="105" spans="1:8" x14ac:dyDescent="0.2">
      <c r="A105" s="6">
        <f>'FERC Interest Rates'!A106</f>
        <v>44227</v>
      </c>
      <c r="B105" s="162"/>
      <c r="C105" s="162"/>
      <c r="D105" s="1">
        <v>282288.8</v>
      </c>
      <c r="E105" s="162"/>
      <c r="F105" s="1">
        <f t="shared" ref="F105:F114" si="15">ROUND(H104*VLOOKUP(A105,FERCINT21,2)/365*VLOOKUP(A105,FERCINT21,3),2)</f>
        <v>2094.36</v>
      </c>
      <c r="H105" s="1">
        <f t="shared" si="13"/>
        <v>1043133.8199999996</v>
      </c>
    </row>
    <row r="106" spans="1:8" x14ac:dyDescent="0.2">
      <c r="A106" s="6">
        <f>'FERC Interest Rates'!A107</f>
        <v>44255</v>
      </c>
      <c r="B106" s="162"/>
      <c r="C106" s="162"/>
      <c r="D106" s="1">
        <v>275119.95</v>
      </c>
      <c r="E106" s="162"/>
      <c r="F106" s="1">
        <f t="shared" si="15"/>
        <v>2600.69</v>
      </c>
      <c r="H106" s="1">
        <f t="shared" si="13"/>
        <v>1320854.4599999995</v>
      </c>
    </row>
    <row r="107" spans="1:8" x14ac:dyDescent="0.2">
      <c r="A107" s="6">
        <f>'FERC Interest Rates'!A108</f>
        <v>44286</v>
      </c>
      <c r="B107" s="162"/>
      <c r="C107" s="162"/>
      <c r="D107" s="1">
        <v>399709.71</v>
      </c>
      <c r="E107" s="162"/>
      <c r="F107" s="1">
        <f t="shared" si="15"/>
        <v>3645.92</v>
      </c>
      <c r="H107" s="1">
        <f t="shared" si="13"/>
        <v>1724210.0899999994</v>
      </c>
    </row>
    <row r="108" spans="1:8" x14ac:dyDescent="0.2">
      <c r="A108" s="6">
        <f>'FERC Interest Rates'!A109</f>
        <v>44316</v>
      </c>
      <c r="B108" s="162"/>
      <c r="C108" s="162"/>
      <c r="D108" s="1">
        <v>206139.8</v>
      </c>
      <c r="E108" s="162"/>
      <c r="F108" s="1">
        <f t="shared" si="15"/>
        <v>4605.7700000000004</v>
      </c>
      <c r="H108" s="1">
        <f t="shared" si="13"/>
        <v>1934955.6599999995</v>
      </c>
    </row>
    <row r="109" spans="1:8" x14ac:dyDescent="0.2">
      <c r="A109" s="6">
        <f>'FERC Interest Rates'!A110</f>
        <v>44347</v>
      </c>
      <c r="B109" s="162"/>
      <c r="C109" s="162"/>
      <c r="D109" s="1">
        <v>245171.15</v>
      </c>
      <c r="E109" s="162"/>
      <c r="F109" s="1">
        <f t="shared" si="15"/>
        <v>5341.01</v>
      </c>
      <c r="H109" s="1">
        <f t="shared" si="13"/>
        <v>2185467.8199999994</v>
      </c>
    </row>
    <row r="110" spans="1:8" x14ac:dyDescent="0.2">
      <c r="A110" s="6">
        <f>'FERC Interest Rates'!A111</f>
        <v>44377</v>
      </c>
      <c r="B110" s="162"/>
      <c r="C110" s="162"/>
      <c r="D110" s="1">
        <v>240621.63</v>
      </c>
      <c r="E110" s="162"/>
      <c r="F110" s="1">
        <f t="shared" si="15"/>
        <v>5837.89</v>
      </c>
      <c r="H110" s="1">
        <f t="shared" si="13"/>
        <v>2431927.3399999994</v>
      </c>
    </row>
    <row r="111" spans="1:8" x14ac:dyDescent="0.2">
      <c r="A111" s="6">
        <f>'FERC Interest Rates'!A112</f>
        <v>44408</v>
      </c>
      <c r="B111" s="162"/>
      <c r="C111" s="162"/>
      <c r="D111" s="1">
        <v>172193.63</v>
      </c>
      <c r="E111" s="162"/>
      <c r="F111" s="1">
        <f t="shared" si="15"/>
        <v>6712.79</v>
      </c>
      <c r="H111" s="1">
        <f t="shared" si="13"/>
        <v>2610833.7599999993</v>
      </c>
    </row>
    <row r="112" spans="1:8" x14ac:dyDescent="0.2">
      <c r="A112" s="6">
        <f>'FERC Interest Rates'!A113</f>
        <v>44439</v>
      </c>
      <c r="B112" s="162"/>
      <c r="C112" s="162"/>
      <c r="D112" s="1">
        <v>164167.57</v>
      </c>
      <c r="E112" s="162"/>
      <c r="F112" s="1">
        <f t="shared" si="15"/>
        <v>7206.62</v>
      </c>
      <c r="H112" s="1">
        <f t="shared" si="13"/>
        <v>2782207.9499999993</v>
      </c>
    </row>
    <row r="113" spans="1:8" x14ac:dyDescent="0.2">
      <c r="A113" s="6">
        <f>'FERC Interest Rates'!A114</f>
        <v>44469</v>
      </c>
      <c r="B113" s="162"/>
      <c r="C113" s="162"/>
      <c r="D113" s="1">
        <v>266840.51</v>
      </c>
      <c r="E113" s="162"/>
      <c r="F113" s="1">
        <f t="shared" si="15"/>
        <v>7431.93</v>
      </c>
      <c r="H113" s="1">
        <f t="shared" si="13"/>
        <v>3056480.3899999992</v>
      </c>
    </row>
    <row r="114" spans="1:8" x14ac:dyDescent="0.2">
      <c r="A114" s="6">
        <f>'FERC Interest Rates'!A115</f>
        <v>44500</v>
      </c>
      <c r="B114" s="162"/>
      <c r="C114" s="162"/>
      <c r="D114" s="1">
        <v>200781.15</v>
      </c>
      <c r="E114" s="162"/>
      <c r="F114" s="1">
        <f t="shared" si="15"/>
        <v>8436.7199999999993</v>
      </c>
      <c r="H114" s="1">
        <f t="shared" si="13"/>
        <v>3265698.2599999993</v>
      </c>
    </row>
    <row r="115" spans="1:8" x14ac:dyDescent="0.2">
      <c r="A115" s="528" t="s">
        <v>101</v>
      </c>
      <c r="B115" s="528"/>
      <c r="C115" s="528"/>
      <c r="D115" s="528"/>
      <c r="E115" s="528"/>
      <c r="F115" s="528"/>
      <c r="G115" s="146">
        <v>-2632279.59</v>
      </c>
      <c r="H115" s="1">
        <f t="shared" ref="H115:H118" si="16">+SUM(D115:G115)+H114</f>
        <v>633418.66999999946</v>
      </c>
    </row>
    <row r="116" spans="1:8" x14ac:dyDescent="0.2">
      <c r="A116" s="6">
        <f>'FERC Interest Rates'!A116</f>
        <v>44530</v>
      </c>
      <c r="B116" s="162"/>
      <c r="C116" s="162"/>
      <c r="D116" s="1">
        <v>268783.53000000003</v>
      </c>
      <c r="E116" s="162"/>
      <c r="F116" s="1">
        <f t="shared" ref="F116:F117" si="17">ROUND(H115*VLOOKUP(A116,FERCINT21,2)/365*VLOOKUP(A116,FERCINT21,3),2)</f>
        <v>1692.01</v>
      </c>
      <c r="H116" s="1">
        <f t="shared" si="16"/>
        <v>903894.2099999995</v>
      </c>
    </row>
    <row r="117" spans="1:8" x14ac:dyDescent="0.2">
      <c r="A117" s="6">
        <f>'FERC Interest Rates'!A117</f>
        <v>44561</v>
      </c>
      <c r="B117" s="162"/>
      <c r="C117" s="162"/>
      <c r="D117" s="1">
        <v>65092.66</v>
      </c>
      <c r="E117" s="162"/>
      <c r="F117" s="1">
        <f t="shared" si="17"/>
        <v>2495</v>
      </c>
      <c r="H117" s="1">
        <f t="shared" si="16"/>
        <v>971481.86999999953</v>
      </c>
    </row>
    <row r="118" spans="1:8" x14ac:dyDescent="0.2">
      <c r="A118" s="6">
        <f>'FERC Interest Rates'!A118</f>
        <v>44592</v>
      </c>
      <c r="B118" s="162"/>
      <c r="C118" s="162"/>
      <c r="D118" s="1">
        <v>236981.93</v>
      </c>
      <c r="E118" s="162"/>
      <c r="F118" s="1">
        <f t="shared" ref="F118:F123" si="18">ROUND(H117*VLOOKUP(A118,FERCINT22,2)/365*VLOOKUP(A118,FERCINT22,3),2)</f>
        <v>2681.56</v>
      </c>
      <c r="H118" s="1">
        <f t="shared" si="16"/>
        <v>1211145.3599999994</v>
      </c>
    </row>
    <row r="119" spans="1:8" x14ac:dyDescent="0.2">
      <c r="A119" s="6">
        <f>'FERC Interest Rates'!A119</f>
        <v>44620</v>
      </c>
      <c r="B119" s="162"/>
      <c r="C119" s="162"/>
      <c r="D119" s="1">
        <v>276824.06</v>
      </c>
      <c r="E119" s="162"/>
      <c r="F119" s="1">
        <f t="shared" si="18"/>
        <v>3019.57</v>
      </c>
      <c r="H119" s="1">
        <f t="shared" ref="H119:H123" si="19">+SUM(D119:G119)+H118</f>
        <v>1490988.9899999993</v>
      </c>
    </row>
    <row r="120" spans="1:8" x14ac:dyDescent="0.2">
      <c r="A120" s="6">
        <f>'FERC Interest Rates'!A120</f>
        <v>44651</v>
      </c>
      <c r="B120" s="162"/>
      <c r="C120" s="162"/>
      <c r="D120" s="1">
        <v>238274.31</v>
      </c>
      <c r="E120" s="162"/>
      <c r="F120" s="1">
        <f t="shared" si="18"/>
        <v>4115.54</v>
      </c>
      <c r="H120" s="1">
        <f t="shared" si="19"/>
        <v>1733378.8399999994</v>
      </c>
    </row>
    <row r="121" spans="1:8" x14ac:dyDescent="0.2">
      <c r="A121" s="6">
        <f>'FERC Interest Rates'!A121</f>
        <v>44681</v>
      </c>
      <c r="B121" s="162"/>
      <c r="C121" s="162"/>
      <c r="D121" s="1">
        <v>170343.06</v>
      </c>
      <c r="E121" s="162"/>
      <c r="F121" s="1">
        <f t="shared" si="18"/>
        <v>4630.26</v>
      </c>
      <c r="H121" s="1">
        <f t="shared" si="19"/>
        <v>1908352.1599999995</v>
      </c>
    </row>
    <row r="122" spans="1:8" x14ac:dyDescent="0.2">
      <c r="A122" s="6">
        <f>'FERC Interest Rates'!A122</f>
        <v>44712</v>
      </c>
      <c r="B122" s="162"/>
      <c r="C122" s="162"/>
      <c r="D122" s="1">
        <v>209353.71</v>
      </c>
      <c r="E122" s="162"/>
      <c r="F122" s="1">
        <f t="shared" si="18"/>
        <v>5267.57</v>
      </c>
      <c r="H122" s="1">
        <f t="shared" si="19"/>
        <v>2122973.4399999995</v>
      </c>
    </row>
    <row r="123" spans="1:8" x14ac:dyDescent="0.2">
      <c r="A123" s="6">
        <f>'FERC Interest Rates'!A123</f>
        <v>44742</v>
      </c>
      <c r="B123" s="162"/>
      <c r="C123" s="162"/>
      <c r="D123" s="1">
        <v>279426.59999999998</v>
      </c>
      <c r="E123" s="162"/>
      <c r="F123" s="1">
        <f t="shared" si="18"/>
        <v>5670.96</v>
      </c>
      <c r="H123" s="1">
        <f t="shared" si="19"/>
        <v>2408070.9999999995</v>
      </c>
    </row>
  </sheetData>
  <mergeCells count="24">
    <mergeCell ref="A115:F115"/>
    <mergeCell ref="A102:F102"/>
    <mergeCell ref="A89:F89"/>
    <mergeCell ref="A7:B7"/>
    <mergeCell ref="C7:H7"/>
    <mergeCell ref="A11:G11"/>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s>
  <phoneticPr fontId="0" type="noConversion"/>
  <printOptions horizontalCentered="1"/>
  <pageMargins left="0.5" right="0.25" top="0.5" bottom="0.25" header="0.3" footer="0.3"/>
  <pageSetup scale="89" orientation="portrait" r:id="rId1"/>
  <headerFooter>
    <oddFooter>&amp;L&amp;"-,Bold"&amp;10Cascade Natural Gas Corporation&amp;C&amp;"-,Bold"&amp;10&amp;P of &amp;N&amp;R&amp;"-,Bold"&amp;10Washington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1CCFA99869AF04DA137CA5B2021C03A" ma:contentTypeVersion="44" ma:contentTypeDescription="" ma:contentTypeScope="" ma:versionID="fabfb9f3bb6d5cef6aefef9d5a0b567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2021-09-15T07:00:00+00:00</OpenedDate>
    <SignificantOrder xmlns="dc463f71-b30c-4ab2-9473-d307f9d35888">false</SignificantOrder>
    <Date1 xmlns="dc463f71-b30c-4ab2-9473-d307f9d35888">2022-07-20T07:00:00+00:00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210711</DocketNumber>
    <DelegatedOrder xmlns="dc463f71-b30c-4ab2-9473-d307f9d35888">false</DelegatedOrder>
  </documentManagement>
</p:properties>
</file>

<file path=customXml/itemProps1.xml><?xml version="1.0" encoding="utf-8"?>
<ds:datastoreItem xmlns:ds="http://schemas.openxmlformats.org/officeDocument/2006/customXml" ds:itemID="{86F87A01-4503-43CB-A411-DEDC124D659F}"/>
</file>

<file path=customXml/itemProps2.xml><?xml version="1.0" encoding="utf-8"?>
<ds:datastoreItem xmlns:ds="http://schemas.openxmlformats.org/officeDocument/2006/customXml" ds:itemID="{D514429D-D436-4684-94AD-61DD92ED2A57}"/>
</file>

<file path=customXml/itemProps3.xml><?xml version="1.0" encoding="utf-8"?>
<ds:datastoreItem xmlns:ds="http://schemas.openxmlformats.org/officeDocument/2006/customXml" ds:itemID="{8A594BD2-46FA-4ABF-984E-445AE5363A40}"/>
</file>

<file path=customXml/itemProps4.xml><?xml version="1.0" encoding="utf-8"?>
<ds:datastoreItem xmlns:ds="http://schemas.openxmlformats.org/officeDocument/2006/customXml" ds:itemID="{5553F64B-3286-47BC-AD13-5A40A31028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40</vt:i4>
      </vt:variant>
    </vt:vector>
  </HeadingPairs>
  <TitlesOfParts>
    <vt:vector size="61" baseType="lpstr">
      <vt:lpstr>DG 1910.01253</vt:lpstr>
      <vt:lpstr>DG 1910.01254</vt:lpstr>
      <vt:lpstr>DG 1910.01286</vt:lpstr>
      <vt:lpstr>WA Deferrals</vt:lpstr>
      <vt:lpstr>RA 1860.20479</vt:lpstr>
      <vt:lpstr>RA 1823.47020430</vt:lpstr>
      <vt:lpstr>RA 1823.47020431</vt:lpstr>
      <vt:lpstr>RA 1823.47020444</vt:lpstr>
      <vt:lpstr>RA 1823.47020449</vt:lpstr>
      <vt:lpstr>RA 1862.20477</vt:lpstr>
      <vt:lpstr>RA 1860.20460-exp only</vt:lpstr>
      <vt:lpstr>RA 1823.47020478</vt:lpstr>
      <vt:lpstr>RA 1862.20480</vt:lpstr>
      <vt:lpstr>RA 1860.20484</vt:lpstr>
      <vt:lpstr>RA 1860.20485</vt:lpstr>
      <vt:lpstr>RA 1860.20486</vt:lpstr>
      <vt:lpstr>FERC Interest Rates</vt:lpstr>
      <vt:lpstr>Therm Sales</vt:lpstr>
      <vt:lpstr>Decoupling-Therm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'Core Cost Incurred'!Print_Area</vt:lpstr>
      <vt:lpstr>'Decoupling-Therm Sales'!Print_Area</vt:lpstr>
      <vt:lpstr>'DG 1910.01253'!Print_Area</vt:lpstr>
      <vt:lpstr>'DG 1910.01254'!Print_Area</vt:lpstr>
      <vt:lpstr>'DG 1910.01286'!Print_Area</vt:lpstr>
      <vt:lpstr>'FERC Interest Rates'!Print_Area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1860.20484'!Print_Area</vt:lpstr>
      <vt:lpstr>'RA 1860.20485'!Print_Area</vt:lpstr>
      <vt:lpstr>'RA 1860.20486'!Print_Area</vt:lpstr>
      <vt:lpstr>'RA 1862.20477'!Print_Area</vt:lpstr>
      <vt:lpstr>'RA 1862.20480'!Print_Area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Peters, Maryalice</cp:lastModifiedBy>
  <cp:lastPrinted>2022-07-20T16:45:18Z</cp:lastPrinted>
  <dcterms:created xsi:type="dcterms:W3CDTF">1998-11-07T00:14:43Z</dcterms:created>
  <dcterms:modified xsi:type="dcterms:W3CDTF">2022-07-20T16:58:15Z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y fmtid="{D5CDD505-2E9C-101B-9397-08002B2CF9AE}" pid="3" name="ContentTypeId">
    <vt:lpwstr>0x0101006E56B4D1795A2E4DB2F0B01679ED314A00D1CCFA99869AF04DA137CA5B2021C03A</vt:lpwstr>
  </property>
  <property fmtid="{D5CDD505-2E9C-101B-9397-08002B2CF9AE}" pid="4" name="_docset_NoMedatataSyncRequired">
    <vt:lpwstr>False</vt:lpwstr>
  </property>
  <property fmtid="{D5CDD505-2E9C-101B-9397-08002B2CF9AE}" pid="5" name="IsEFSEC">
    <vt:bool>false</vt:bool>
  </property>
</Properties>
</file>