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45" windowWidth="14520" windowHeight="13680" tabRatio="872"/>
  </bookViews>
  <sheets>
    <sheet name="COC, Def, ConvF" sheetId="2" r:id="rId1"/>
    <sheet name="COC-Restating" sheetId="21" r:id="rId2"/>
    <sheet name="Summary" sheetId="24" r:id="rId3"/>
    <sheet name="Detailed Summary" sheetId="1" r:id="rId4"/>
    <sheet name="Common Adj" sheetId="6" r:id="rId5"/>
    <sheet name="Gas Adj" sheetId="22" r:id="rId6"/>
    <sheet name="Named Ranges G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GAS">'Named Ranges G'!$C$3</definedName>
    <definedName name="_xlnm.Print_Area" localSheetId="3">'Detailed Summary'!$A$1:$AV$62</definedName>
    <definedName name="_xlnm.Print_Area" localSheetId="2">Summary!$A$1:$I$62</definedName>
    <definedName name="_xlnm.Print_Titles" localSheetId="3">'Detailed Summary'!$A:$B,'Detailed Summary'!$1:$12</definedName>
    <definedName name="_xlnm.Print_Titles" localSheetId="2">Summary!$A:$B,Summary!$1:$12</definedName>
    <definedName name="RATE_Increase_G">'COC, Def, ConvF'!$A$2:$C$22</definedName>
    <definedName name="RY_G">'Named Ranges G'!$C$9</definedName>
    <definedName name="TESTYEAR_GAS">'Named Ranges G'!$C$5</definedName>
    <definedName name="UTN_G">'Common Adj'!$EJ$15</definedName>
  </definedNames>
  <calcPr calcId="162913" calcMode="autoNoTable"/>
</workbook>
</file>

<file path=xl/calcChain.xml><?xml version="1.0" encoding="utf-8"?>
<calcChain xmlns="http://schemas.openxmlformats.org/spreadsheetml/2006/main">
  <c r="N5" i="2" l="1"/>
  <c r="N4" i="2"/>
  <c r="N2" i="2" l="1"/>
  <c r="N13" i="2" l="1"/>
  <c r="N14" i="2" s="1"/>
  <c r="N15" i="2" s="1"/>
  <c r="C23" i="2" l="1"/>
  <c r="HE18" i="6" l="1"/>
  <c r="HF22" i="6"/>
  <c r="HF24" i="6" s="1"/>
  <c r="HE22" i="6"/>
  <c r="HE24" i="6" s="1"/>
  <c r="X2" i="6" l="1"/>
  <c r="BZ14" i="6" l="1"/>
  <c r="BY14" i="6"/>
  <c r="G13" i="2" l="1"/>
  <c r="F13" i="2"/>
  <c r="F12" i="2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GH35" i="6"/>
  <c r="GG35" i="6"/>
  <c r="GH32" i="6"/>
  <c r="GG32" i="6"/>
  <c r="GH31" i="6"/>
  <c r="GG31" i="6"/>
  <c r="GH30" i="6"/>
  <c r="GG30" i="6"/>
  <c r="GK28" i="6"/>
  <c r="GH24" i="6"/>
  <c r="GG24" i="6"/>
  <c r="GH23" i="6"/>
  <c r="GG23" i="6"/>
  <c r="GH22" i="6"/>
  <c r="GG22" i="6"/>
  <c r="GH18" i="6"/>
  <c r="GG18" i="6"/>
  <c r="GH17" i="6"/>
  <c r="GG17" i="6"/>
  <c r="GH16" i="6"/>
  <c r="GG16" i="6"/>
  <c r="FT32" i="6"/>
  <c r="FS32" i="6"/>
  <c r="FT31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7" i="6"/>
  <c r="GB26" i="6"/>
  <c r="GB25" i="6"/>
  <c r="FZ25" i="6"/>
  <c r="FY25" i="6"/>
  <c r="GB24" i="6"/>
  <c r="FZ24" i="6"/>
  <c r="FY24" i="6"/>
  <c r="GB22" i="6"/>
  <c r="FZ22" i="6"/>
  <c r="FY22" i="6"/>
  <c r="GB17" i="6"/>
  <c r="FZ17" i="6"/>
  <c r="FY17" i="6"/>
  <c r="GB16" i="6"/>
  <c r="FZ16" i="6"/>
  <c r="GB15" i="6"/>
  <c r="FZ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I26" i="6"/>
  <c r="F27" i="6"/>
  <c r="H25" i="6"/>
  <c r="F25" i="6"/>
  <c r="F24" i="6"/>
  <c r="F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N19" i="6"/>
  <c r="E14" i="1" s="1"/>
  <c r="L17" i="6"/>
  <c r="M15" i="6"/>
  <c r="L15" i="6"/>
  <c r="DU24" i="6" l="1"/>
  <c r="HX29" i="6"/>
  <c r="HX30" i="6" s="1"/>
  <c r="HU29" i="6"/>
  <c r="HU30" i="6" s="1"/>
  <c r="HV29" i="6"/>
  <c r="HV30" i="6" s="1"/>
  <c r="HW29" i="6"/>
  <c r="HW30" i="6" s="1"/>
  <c r="U17" i="6"/>
  <c r="W14" i="6"/>
  <c r="E9" i="1"/>
  <c r="F9" i="1" l="1"/>
  <c r="V9" i="6" s="1"/>
  <c r="N9" i="6"/>
  <c r="X14" i="6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S17" i="1" l="1"/>
  <c r="C24" i="22"/>
  <c r="G19" i="22" l="1"/>
  <c r="H15" i="22"/>
  <c r="F15" i="22"/>
  <c r="AS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K9" i="1" l="1"/>
  <c r="AL9" i="1" l="1"/>
  <c r="FU9" i="6"/>
  <c r="AM9" i="1" l="1"/>
  <c r="GC9" i="6"/>
  <c r="AN9" i="1" l="1"/>
  <c r="GK9" i="6"/>
  <c r="AO9" i="1" l="1"/>
  <c r="GS9" i="6"/>
  <c r="AP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X38" i="1"/>
  <c r="X37" i="1"/>
  <c r="X36" i="1"/>
  <c r="X24" i="1"/>
  <c r="X22" i="1"/>
  <c r="X15" i="1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AR35" i="1"/>
  <c r="AR53" i="1"/>
  <c r="AR52" i="1"/>
  <c r="AR51" i="1"/>
  <c r="AR40" i="1" l="1"/>
  <c r="HY30" i="6"/>
  <c r="HV25" i="6"/>
  <c r="HU25" i="6"/>
  <c r="HY25" i="6"/>
  <c r="HW25" i="6"/>
  <c r="HX19" i="6"/>
  <c r="HX21" i="6" s="1"/>
  <c r="HU19" i="6"/>
  <c r="HU21" i="6" s="1"/>
  <c r="HY19" i="6"/>
  <c r="HY21" i="6" s="1"/>
  <c r="HW19" i="6"/>
  <c r="HW21" i="6" s="1"/>
  <c r="HV19" i="6"/>
  <c r="HV21" i="6" s="1"/>
  <c r="HX25" i="6"/>
  <c r="IG1" i="6"/>
  <c r="HD26" i="6" l="1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22" i="6" s="1"/>
  <c r="HI24" i="6" s="1"/>
  <c r="HI26" i="6" s="1"/>
  <c r="HI17" i="6"/>
  <c r="AP54" i="1" s="1"/>
  <c r="HH18" i="6"/>
  <c r="HI16" i="6"/>
  <c r="AP52" i="1" s="1"/>
  <c r="HI15" i="6" l="1"/>
  <c r="AP51" i="1" s="1"/>
  <c r="AP34" i="1"/>
  <c r="HI27" i="6"/>
  <c r="AP40" i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18" i="6" l="1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GI27" i="6" l="1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GH27" i="6" l="1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O41" i="1"/>
  <c r="GX16" i="6"/>
  <c r="GY15" i="6"/>
  <c r="GY16" i="6" s="1"/>
  <c r="HA15" i="6"/>
  <c r="HA16" i="6" s="1"/>
  <c r="AO53" i="1" s="1"/>
  <c r="K25" i="6" l="1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N15" i="6"/>
  <c r="N17" i="6" s="1"/>
  <c r="M17" i="6" s="1"/>
  <c r="L19" i="6" l="1"/>
  <c r="M19" i="6"/>
  <c r="L25" i="6" l="1"/>
  <c r="M25" i="6"/>
  <c r="N25" i="6" l="1"/>
  <c r="E33" i="1" s="1"/>
  <c r="I5" i="2" l="1"/>
  <c r="I4" i="2"/>
  <c r="HO16" i="6" l="1"/>
  <c r="HO14" i="6" l="1"/>
  <c r="HQ16" i="6"/>
  <c r="AQ29" i="1" s="1"/>
  <c r="HQ14" i="6"/>
  <c r="AQ27" i="1" s="1"/>
  <c r="HQ17" i="6"/>
  <c r="AQ30" i="1" s="1"/>
  <c r="HO17" i="6"/>
  <c r="HO15" i="6"/>
  <c r="HQ15" i="6"/>
  <c r="AQ28" i="1" l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R57" i="1" l="1"/>
  <c r="AR25" i="1"/>
  <c r="AR42" i="1" s="1"/>
  <c r="AR17" i="1"/>
  <c r="AR46" i="1" l="1"/>
  <c r="HY1" i="6"/>
  <c r="AR44" i="1"/>
  <c r="HX1" i="6" l="1"/>
  <c r="AA9" i="1" l="1"/>
  <c r="P9" i="6" s="1"/>
  <c r="Z57" i="1"/>
  <c r="Z46" i="1" s="1"/>
  <c r="Z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X32" i="1" s="1"/>
  <c r="AL41" i="6"/>
  <c r="AK41" i="6"/>
  <c r="AM41" i="6" l="1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CG16" i="6" l="1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J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J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T53" i="1" s="1"/>
  <c r="Q38" i="22"/>
  <c r="AT52" i="1" s="1"/>
  <c r="J20" i="22" l="1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Q57" i="1" l="1"/>
  <c r="AQ46" i="1" s="1"/>
  <c r="AQ25" i="1"/>
  <c r="AQ17" i="1"/>
  <c r="AD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X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I37" i="1" s="1"/>
  <c r="FD17" i="6"/>
  <c r="FD19" i="6" s="1"/>
  <c r="FC15" i="6"/>
  <c r="FC17" i="6" s="1"/>
  <c r="FC19" i="6" s="1"/>
  <c r="FA20" i="6"/>
  <c r="FB20" i="6"/>
  <c r="FD20" i="6" l="1"/>
  <c r="FC20" i="6"/>
  <c r="FE19" i="6"/>
  <c r="AI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AQ19" i="6" l="1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P57" i="1" l="1"/>
  <c r="AP25" i="1"/>
  <c r="AP42" i="1" s="1"/>
  <c r="AP17" i="1"/>
  <c r="AO57" i="1"/>
  <c r="GZ1" i="6" s="1"/>
  <c r="AO25" i="1"/>
  <c r="AO42" i="1" s="1"/>
  <c r="AO17" i="1"/>
  <c r="AN57" i="1"/>
  <c r="AN46" i="1" s="1"/>
  <c r="AN25" i="1"/>
  <c r="AN17" i="1"/>
  <c r="AP46" i="1" l="1"/>
  <c r="HH1" i="6"/>
  <c r="AO46" i="1"/>
  <c r="AH9" i="1"/>
  <c r="EG9" i="6" s="1"/>
  <c r="AP44" i="1"/>
  <c r="AO44" i="1"/>
  <c r="HA1" i="6" l="1"/>
  <c r="HI1" i="6"/>
  <c r="AD25" i="1" l="1"/>
  <c r="AC25" i="1"/>
  <c r="AD17" i="1"/>
  <c r="AC17" i="1"/>
  <c r="AD43" i="1"/>
  <c r="AC43" i="1"/>
  <c r="AC57" i="1"/>
  <c r="AC46" i="1" s="1"/>
  <c r="AD57" i="1"/>
  <c r="AD46" i="1" s="1"/>
  <c r="AU56" i="1" l="1"/>
  <c r="F56" i="24" s="1"/>
  <c r="AU55" i="1"/>
  <c r="F55" i="24" s="1"/>
  <c r="AU41" i="1"/>
  <c r="F41" i="24" s="1"/>
  <c r="AU38" i="1"/>
  <c r="F38" i="24" s="1"/>
  <c r="AU36" i="1"/>
  <c r="F36" i="24" s="1"/>
  <c r="AU32" i="1"/>
  <c r="F32" i="24" s="1"/>
  <c r="AU28" i="1"/>
  <c r="F28" i="24" s="1"/>
  <c r="AU24" i="1"/>
  <c r="F24" i="24" s="1"/>
  <c r="AU15" i="1"/>
  <c r="F15" i="24" s="1"/>
  <c r="AJ57" i="1"/>
  <c r="AJ46" i="1" s="1"/>
  <c r="AH57" i="1"/>
  <c r="AH46" i="1" s="1"/>
  <c r="AG57" i="1"/>
  <c r="AG46" i="1" s="1"/>
  <c r="AF57" i="1"/>
  <c r="AF46" i="1" s="1"/>
  <c r="AE57" i="1"/>
  <c r="AE46" i="1" s="1"/>
  <c r="AI57" i="1"/>
  <c r="AI46" i="1" s="1"/>
  <c r="AB57" i="1"/>
  <c r="AB46" i="1" s="1"/>
  <c r="AA57" i="1"/>
  <c r="AA46" i="1" s="1"/>
  <c r="AM25" i="1"/>
  <c r="AL25" i="1"/>
  <c r="AK25" i="1"/>
  <c r="AJ25" i="1"/>
  <c r="AJ42" i="1" s="1"/>
  <c r="AH25" i="1"/>
  <c r="AG25" i="1"/>
  <c r="AF25" i="1"/>
  <c r="AE25" i="1"/>
  <c r="AI25" i="1"/>
  <c r="AI42" i="1" s="1"/>
  <c r="AB25" i="1"/>
  <c r="AM17" i="1"/>
  <c r="AL17" i="1"/>
  <c r="AK17" i="1"/>
  <c r="AJ17" i="1"/>
  <c r="AH17" i="1"/>
  <c r="AG17" i="1"/>
  <c r="AF17" i="1"/>
  <c r="AE17" i="1"/>
  <c r="AI17" i="1"/>
  <c r="AB17" i="1"/>
  <c r="AJ44" i="1" l="1"/>
  <c r="AI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X56" i="1" l="1"/>
  <c r="D56" i="24" s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Y15" i="1" l="1"/>
  <c r="AV15" i="1" s="1"/>
  <c r="U42" i="1"/>
  <c r="F17" i="1"/>
  <c r="G17" i="1"/>
  <c r="I17" i="1"/>
  <c r="J17" i="1"/>
  <c r="K17" i="1"/>
  <c r="L17" i="1"/>
  <c r="M17" i="1"/>
  <c r="N17" i="1"/>
  <c r="O17" i="1"/>
  <c r="U44" i="1" l="1"/>
  <c r="H13" i="2" l="1"/>
  <c r="D24" i="24" l="1"/>
  <c r="E24" i="24" s="1"/>
  <c r="G24" i="24" s="1"/>
  <c r="I24" i="24" s="1"/>
  <c r="D5" i="2"/>
  <c r="D4" i="2"/>
  <c r="E17" i="1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E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E40" i="1" l="1"/>
  <c r="Q42" i="1"/>
  <c r="Q44" i="1" s="1"/>
  <c r="DI19" i="6"/>
  <c r="I8" i="6"/>
  <c r="I7" i="6"/>
  <c r="I5" i="6"/>
  <c r="AE42" i="1" l="1"/>
  <c r="AE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Z9" i="1" l="1"/>
  <c r="H9" i="6" s="1"/>
  <c r="F9" i="6"/>
  <c r="Y24" i="1"/>
  <c r="AV24" i="1" s="1"/>
  <c r="Y38" i="1"/>
  <c r="AV38" i="1" s="1"/>
  <c r="Y36" i="1"/>
  <c r="AV36" i="1" s="1"/>
  <c r="Y56" i="1"/>
  <c r="AV56" i="1" s="1"/>
  <c r="G9" i="1" l="1"/>
  <c r="AB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C9" i="1" l="1"/>
  <c r="BU9" i="6" s="1"/>
  <c r="BS9" i="6"/>
  <c r="M9" i="1"/>
  <c r="AD9" i="1" l="1"/>
  <c r="CC9" i="6" s="1"/>
  <c r="CA9" i="6"/>
  <c r="N9" i="1"/>
  <c r="CI9" i="6" s="1"/>
  <c r="O9" i="1" l="1"/>
  <c r="P9" i="1" l="1"/>
  <c r="CY9" i="6" s="1"/>
  <c r="CQ9" i="6"/>
  <c r="AU22" i="1"/>
  <c r="F22" i="24" s="1"/>
  <c r="AQ9" i="1" l="1"/>
  <c r="AR9" i="1" l="1"/>
  <c r="HY9" i="6" s="1"/>
  <c r="HQ9" i="6"/>
  <c r="D22" i="24"/>
  <c r="E22" i="24" l="1"/>
  <c r="Y22" i="1"/>
  <c r="AV22" i="1" s="1"/>
  <c r="G22" i="24" l="1"/>
  <c r="AT25" i="1"/>
  <c r="I22" i="24" l="1"/>
  <c r="BU15" i="6" l="1"/>
  <c r="AC33" i="1" s="1"/>
  <c r="BS15" i="6"/>
  <c r="L33" i="1" s="1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N30" i="1"/>
  <c r="GS19" i="6" l="1"/>
  <c r="AN40" i="1" s="1"/>
  <c r="GS20" i="6" l="1"/>
  <c r="AN42" i="1"/>
  <c r="AN44" i="1" s="1"/>
  <c r="GS1" i="6" l="1"/>
  <c r="M41" i="22" l="1"/>
  <c r="M20" i="22"/>
  <c r="N18" i="22"/>
  <c r="Q37" i="22"/>
  <c r="P41" i="22"/>
  <c r="AT51" i="1" l="1"/>
  <c r="Q41" i="22"/>
  <c r="N20" i="22"/>
  <c r="O18" i="22"/>
  <c r="O20" i="22" s="1"/>
  <c r="O41" i="22"/>
  <c r="N41" i="22"/>
  <c r="P20" i="22"/>
  <c r="Q18" i="22"/>
  <c r="AT34" i="1" l="1"/>
  <c r="Q20" i="22"/>
  <c r="AT57" i="1"/>
  <c r="P1" i="22" s="1"/>
  <c r="AT46" i="1" l="1"/>
  <c r="AL51" i="1" l="1"/>
  <c r="AL53" i="1"/>
  <c r="AL52" i="1" l="1"/>
  <c r="AL57" i="1" l="1"/>
  <c r="AL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H33" i="1"/>
  <c r="T33" i="1"/>
  <c r="EE23" i="6"/>
  <c r="T40" i="1" s="1"/>
  <c r="EG25" i="6" l="1"/>
  <c r="AH40" i="1"/>
  <c r="AH42" i="1" s="1"/>
  <c r="AH44" i="1" s="1"/>
  <c r="T42" i="1"/>
  <c r="T44" i="1" s="1"/>
  <c r="EE25" i="6"/>
  <c r="EG1" i="6" l="1"/>
  <c r="EE1" i="6"/>
  <c r="DW18" i="6" l="1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G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G40" i="1" s="1"/>
  <c r="AG42" i="1" l="1"/>
  <c r="AG44" i="1" s="1"/>
  <c r="DY34" i="6"/>
  <c r="DY1" i="6" l="1"/>
  <c r="DO16" i="6" l="1"/>
  <c r="DO17" i="6"/>
  <c r="DO20" i="6"/>
  <c r="R30" i="1" s="1"/>
  <c r="DO19" i="6"/>
  <c r="R29" i="1" s="1"/>
  <c r="DO18" i="6"/>
  <c r="DO22" i="6"/>
  <c r="DO15" i="6" l="1"/>
  <c r="DO21" i="6"/>
  <c r="R31" i="1" s="1"/>
  <c r="R27" i="1" l="1"/>
  <c r="DQ19" i="6" l="1"/>
  <c r="AF29" i="1" s="1"/>
  <c r="AU29" i="1" s="1"/>
  <c r="F29" i="24" s="1"/>
  <c r="DQ21" i="6"/>
  <c r="AF31" i="1" s="1"/>
  <c r="AU31" i="1" s="1"/>
  <c r="F31" i="24" s="1"/>
  <c r="DQ17" i="6"/>
  <c r="DQ22" i="6"/>
  <c r="DQ20" i="6"/>
  <c r="AF30" i="1" s="1"/>
  <c r="DQ16" i="6"/>
  <c r="DQ18" i="6" l="1"/>
  <c r="DQ15" i="6"/>
  <c r="AF27" i="1" l="1"/>
  <c r="AU27" i="1" l="1"/>
  <c r="F27" i="24" s="1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D33" i="1" l="1"/>
  <c r="CC20" i="6"/>
  <c r="AD40" i="1" s="1"/>
  <c r="CA20" i="6"/>
  <c r="M40" i="1" s="1"/>
  <c r="M33" i="1"/>
  <c r="CC22" i="6" l="1"/>
  <c r="CA22" i="6"/>
  <c r="M42" i="1"/>
  <c r="M44" i="1" s="1"/>
  <c r="AD42" i="1"/>
  <c r="AD44" i="1" s="1"/>
  <c r="CC1" i="6" l="1"/>
  <c r="CA1" i="6"/>
  <c r="AD45" i="1"/>
  <c r="V14" i="6" l="1"/>
  <c r="V17" i="6" l="1"/>
  <c r="F40" i="1"/>
  <c r="F42" i="1" l="1"/>
  <c r="F44" i="1" s="1"/>
  <c r="FU31" i="6" l="1"/>
  <c r="FU16" i="6" l="1"/>
  <c r="AK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FT33" i="6" l="1"/>
  <c r="FT35" i="6" s="1"/>
  <c r="FU32" i="6"/>
  <c r="FU33" i="6" s="1"/>
  <c r="FU35" i="6" s="1"/>
  <c r="FU37" i="6" s="1"/>
  <c r="FU38" i="6" s="1"/>
  <c r="AK37" i="1"/>
  <c r="FT37" i="6" l="1"/>
  <c r="AK40" i="1" s="1"/>
  <c r="AK42" i="1" l="1"/>
  <c r="AK44" i="1" s="1"/>
  <c r="FT38" i="6"/>
  <c r="FU1" i="6" l="1"/>
  <c r="FU21" i="6" l="1"/>
  <c r="AK51" i="1" l="1"/>
  <c r="FU23" i="6"/>
  <c r="AK53" i="1" s="1"/>
  <c r="FU22" i="6" l="1"/>
  <c r="FT24" i="6"/>
  <c r="FT26" i="6" s="1"/>
  <c r="AK52" i="1" l="1"/>
  <c r="FU24" i="6"/>
  <c r="FU26" i="6" s="1"/>
  <c r="AK57" i="1" l="1"/>
  <c r="FT1" i="6" s="1"/>
  <c r="AK46" i="1" l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S34" i="1" s="1"/>
  <c r="AS52" i="1"/>
  <c r="AU34" i="1" l="1"/>
  <c r="F24" i="22"/>
  <c r="H24" i="22"/>
  <c r="AS40" i="1" s="1"/>
  <c r="AS42" i="1" s="1"/>
  <c r="AS44" i="1" s="1"/>
  <c r="F34" i="24" l="1"/>
  <c r="E17" i="22" l="1"/>
  <c r="D17" i="22"/>
  <c r="D19" i="22" s="1"/>
  <c r="H17" i="22" l="1"/>
  <c r="F17" i="22"/>
  <c r="F19" i="22" s="1"/>
  <c r="E19" i="22"/>
  <c r="AS53" i="1" l="1"/>
  <c r="H19" i="22"/>
  <c r="AS57" i="1" l="1"/>
  <c r="G1" i="22" s="1"/>
  <c r="AS46" i="1" l="1"/>
  <c r="H1" i="22" l="1"/>
  <c r="C40" i="1" l="1"/>
  <c r="C32" i="1"/>
  <c r="C32" i="24" l="1"/>
  <c r="E32" i="24" s="1"/>
  <c r="G32" i="24" s="1"/>
  <c r="I32" i="24" s="1"/>
  <c r="Y32" i="1"/>
  <c r="C40" i="24"/>
  <c r="C14" i="1"/>
  <c r="C37" i="1"/>
  <c r="C23" i="1"/>
  <c r="C28" i="1"/>
  <c r="C29" i="1"/>
  <c r="C16" i="1"/>
  <c r="C27" i="1"/>
  <c r="AV32" i="1" l="1"/>
  <c r="C23" i="24"/>
  <c r="C25" i="1"/>
  <c r="C27" i="24"/>
  <c r="C28" i="24"/>
  <c r="C37" i="24"/>
  <c r="E37" i="24" s="1"/>
  <c r="Y37" i="1"/>
  <c r="C16" i="24"/>
  <c r="C29" i="24"/>
  <c r="C14" i="24"/>
  <c r="C17" i="1"/>
  <c r="C31" i="1"/>
  <c r="C17" i="24" l="1"/>
  <c r="C31" i="24"/>
  <c r="C25" i="24"/>
  <c r="C39" i="1" l="1"/>
  <c r="C39" i="24" l="1"/>
  <c r="C33" i="1"/>
  <c r="C34" i="1"/>
  <c r="C35" i="1"/>
  <c r="C30" i="1"/>
  <c r="C30" i="24" l="1"/>
  <c r="C35" i="24"/>
  <c r="C34" i="24"/>
  <c r="C33" i="24"/>
  <c r="F35" i="6" l="1"/>
  <c r="F34" i="6"/>
  <c r="F36" i="6" l="1"/>
  <c r="D23" i="1" s="1"/>
  <c r="X23" i="1" s="1"/>
  <c r="D25" i="1" l="1"/>
  <c r="D23" i="24"/>
  <c r="X25" i="1"/>
  <c r="Y23" i="1"/>
  <c r="Y25" i="1" l="1"/>
  <c r="D25" i="24"/>
  <c r="E23" i="24"/>
  <c r="E25" i="24" l="1"/>
  <c r="H15" i="6"/>
  <c r="H20" i="6" s="1"/>
  <c r="F26" i="6"/>
  <c r="M15" i="22"/>
  <c r="Z14" i="1" l="1"/>
  <c r="N15" i="22"/>
  <c r="M23" i="22"/>
  <c r="N23" i="22" s="1"/>
  <c r="F28" i="6"/>
  <c r="Q23" i="22" l="1"/>
  <c r="AT33" i="1" s="1"/>
  <c r="O23" i="22"/>
  <c r="O15" i="22"/>
  <c r="Q15" i="22"/>
  <c r="AT14" i="1" s="1"/>
  <c r="AT17" i="1" l="1"/>
  <c r="H27" i="6"/>
  <c r="F18" i="6"/>
  <c r="F17" i="6"/>
  <c r="F23" i="6" l="1"/>
  <c r="F29" i="6" s="1"/>
  <c r="D16" i="1" l="1"/>
  <c r="X16" i="1" s="1"/>
  <c r="F16" i="6"/>
  <c r="H23" i="6"/>
  <c r="H29" i="6" l="1"/>
  <c r="Z16" i="1" s="1"/>
  <c r="D16" i="24"/>
  <c r="E16" i="24" s="1"/>
  <c r="Y16" i="1"/>
  <c r="H31" i="6" l="1"/>
  <c r="H39" i="6" s="1"/>
  <c r="AU16" i="1"/>
  <c r="AV16" i="1" s="1"/>
  <c r="Z17" i="1"/>
  <c r="Z33" i="1" l="1"/>
  <c r="F16" i="24"/>
  <c r="G16" i="24" l="1"/>
  <c r="I16" i="24" l="1"/>
  <c r="G12" i="2" l="1"/>
  <c r="G16" i="2" s="1"/>
  <c r="H12" i="2" l="1"/>
  <c r="AE18" i="6" l="1"/>
  <c r="H16" i="2"/>
  <c r="H18" i="2" s="1"/>
  <c r="H14" i="2"/>
  <c r="C13" i="2" s="1"/>
  <c r="W59" i="1" l="1"/>
  <c r="F59" i="24"/>
  <c r="I59" i="24"/>
  <c r="S59" i="1"/>
  <c r="S61" i="1" s="1"/>
  <c r="V59" i="1"/>
  <c r="AO59" i="1"/>
  <c r="AO61" i="1" s="1"/>
  <c r="AF59" i="1"/>
  <c r="AJ59" i="1"/>
  <c r="AJ61" i="1" s="1"/>
  <c r="AA59" i="1"/>
  <c r="AE59" i="1"/>
  <c r="AE61" i="1" s="1"/>
  <c r="E59" i="1"/>
  <c r="M59" i="1"/>
  <c r="M61" i="1" s="1"/>
  <c r="Y59" i="1"/>
  <c r="Z59" i="1"/>
  <c r="G59" i="24"/>
  <c r="Q59" i="1"/>
  <c r="Q61" i="1" s="1"/>
  <c r="AC59" i="1"/>
  <c r="AI59" i="1"/>
  <c r="AI61" i="1" s="1"/>
  <c r="L59" i="1"/>
  <c r="J59" i="1"/>
  <c r="C59" i="24"/>
  <c r="AN59" i="1"/>
  <c r="AN61" i="1" s="1"/>
  <c r="AM59" i="1"/>
  <c r="AL59" i="1"/>
  <c r="K59" i="1"/>
  <c r="F59" i="1"/>
  <c r="F61" i="1" s="1"/>
  <c r="AS59" i="1"/>
  <c r="AS61" i="1" s="1"/>
  <c r="D59" i="24"/>
  <c r="E59" i="24"/>
  <c r="T59" i="1"/>
  <c r="T61" i="1" s="1"/>
  <c r="P59" i="1"/>
  <c r="P61" i="1" s="1"/>
  <c r="AD59" i="1"/>
  <c r="AD61" i="1" s="1"/>
  <c r="AB59" i="1"/>
  <c r="AK59" i="1"/>
  <c r="AK61" i="1" s="1"/>
  <c r="AG59" i="1"/>
  <c r="AG61" i="1" s="1"/>
  <c r="X59" i="1"/>
  <c r="U59" i="1"/>
  <c r="D59" i="1"/>
  <c r="I59" i="1"/>
  <c r="I61" i="1" s="1"/>
  <c r="H59" i="24"/>
  <c r="AP59" i="1"/>
  <c r="AP61" i="1" s="1"/>
  <c r="AV59" i="1"/>
  <c r="AU59" i="1"/>
  <c r="O59" i="1"/>
  <c r="N59" i="1"/>
  <c r="N61" i="1" s="1"/>
  <c r="AR59" i="1"/>
  <c r="AR61" i="1" s="1"/>
  <c r="R59" i="1"/>
  <c r="AQ59" i="1"/>
  <c r="AT59" i="1"/>
  <c r="AH59" i="1"/>
  <c r="AH61" i="1" s="1"/>
  <c r="H59" i="1"/>
  <c r="C59" i="1"/>
  <c r="O21" i="6" l="1"/>
  <c r="P21" i="6" s="1"/>
  <c r="AA23" i="1" s="1"/>
  <c r="P15" i="6"/>
  <c r="AA25" i="1" l="1"/>
  <c r="AU23" i="1"/>
  <c r="O15" i="6"/>
  <c r="F23" i="24" l="1"/>
  <c r="AU25" i="1"/>
  <c r="AV23" i="1"/>
  <c r="AV25" i="1" s="1"/>
  <c r="F25" i="24" l="1"/>
  <c r="G23" i="24"/>
  <c r="I23" i="24" l="1"/>
  <c r="I25" i="24" s="1"/>
  <c r="G25" i="24"/>
  <c r="O19" i="6" l="1"/>
  <c r="P19" i="6" s="1"/>
  <c r="AA14" i="1" l="1"/>
  <c r="P17" i="6"/>
  <c r="O17" i="6" s="1"/>
  <c r="AA17" i="1" l="1"/>
  <c r="AU14" i="1"/>
  <c r="F14" i="24" l="1"/>
  <c r="AU17" i="1"/>
  <c r="O25" i="6"/>
  <c r="P25" i="6" s="1"/>
  <c r="AA33" i="1" s="1"/>
  <c r="F17" i="24" l="1"/>
  <c r="C24" i="2" l="1"/>
  <c r="C25" i="2"/>
  <c r="C26" i="2" l="1"/>
  <c r="P13" i="2" l="1"/>
  <c r="C36" i="2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V35" i="1" s="1"/>
  <c r="EV17" i="6"/>
  <c r="EW17" i="6" s="1"/>
  <c r="X35" i="1" l="1"/>
  <c r="D35" i="24"/>
  <c r="E35" i="24" s="1"/>
  <c r="Y35" i="1"/>
  <c r="ET14" i="6"/>
  <c r="EU14" i="6" l="1"/>
  <c r="EV14" i="6"/>
  <c r="EW14" i="6" l="1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ET31" i="6" l="1"/>
  <c r="X34" i="1"/>
  <c r="ET26" i="6"/>
  <c r="EU29" i="6"/>
  <c r="V52" i="1" s="1"/>
  <c r="EU25" i="6"/>
  <c r="EU26" i="6" s="1"/>
  <c r="EW29" i="6"/>
  <c r="EW25" i="6"/>
  <c r="EW30" i="6" s="1"/>
  <c r="EW31" i="6" s="1"/>
  <c r="EV29" i="6"/>
  <c r="EV25" i="6"/>
  <c r="EV30" i="6" s="1"/>
  <c r="EV26" i="6" l="1"/>
  <c r="EV31" i="6"/>
  <c r="EW26" i="6"/>
  <c r="EU30" i="6"/>
  <c r="V40" i="1"/>
  <c r="D34" i="24"/>
  <c r="Y34" i="1"/>
  <c r="AV34" i="1" l="1"/>
  <c r="V42" i="1"/>
  <c r="V44" i="1" s="1"/>
  <c r="E34" i="24"/>
  <c r="EU1" i="6"/>
  <c r="EU31" i="6"/>
  <c r="V53" i="1"/>
  <c r="V57" i="1" l="1"/>
  <c r="G34" i="24"/>
  <c r="EV1" i="6" l="1"/>
  <c r="V46" i="1"/>
  <c r="V61" i="1"/>
  <c r="I34" i="24"/>
  <c r="GF34" i="6" l="1"/>
  <c r="GJ32" i="6" l="1"/>
  <c r="GK32" i="6" s="1"/>
  <c r="FY26" i="6"/>
  <c r="FY27" i="6"/>
  <c r="FY16" i="6"/>
  <c r="GA16" i="6" s="1"/>
  <c r="FY15" i="6"/>
  <c r="DM26" i="6" l="1"/>
  <c r="AZ15" i="6"/>
  <c r="AZ17" i="6" s="1"/>
  <c r="AZ18" i="6" s="1"/>
  <c r="AZ19" i="6" s="1"/>
  <c r="GB19" i="6"/>
  <c r="GJ16" i="6"/>
  <c r="HP18" i="6"/>
  <c r="GJ24" i="6"/>
  <c r="GK24" i="6" s="1"/>
  <c r="FY20" i="6"/>
  <c r="HM18" i="6"/>
  <c r="HM19" i="6" s="1"/>
  <c r="HM21" i="6" s="1"/>
  <c r="HM22" i="6" s="1"/>
  <c r="GJ22" i="6"/>
  <c r="FY28" i="6"/>
  <c r="GB28" i="6"/>
  <c r="GJ23" i="6"/>
  <c r="GK23" i="6" s="1"/>
  <c r="GA15" i="6"/>
  <c r="GB21" i="6"/>
  <c r="GB20" i="6"/>
  <c r="FZ27" i="6"/>
  <c r="FY21" i="6"/>
  <c r="GJ18" i="6"/>
  <c r="GK18" i="6" s="1"/>
  <c r="AM53" i="1" s="1"/>
  <c r="AU53" i="1" s="1"/>
  <c r="F53" i="24" s="1"/>
  <c r="GJ31" i="6"/>
  <c r="GK31" i="6" s="1"/>
  <c r="AM37" i="1" s="1"/>
  <c r="AU37" i="1" s="1"/>
  <c r="FZ26" i="6"/>
  <c r="GJ30" i="6"/>
  <c r="GB18" i="6"/>
  <c r="FY19" i="6"/>
  <c r="GJ17" i="6"/>
  <c r="GK17" i="6" s="1"/>
  <c r="AM52" i="1" s="1"/>
  <c r="AU52" i="1" s="1"/>
  <c r="F52" i="24" s="1"/>
  <c r="FY18" i="6"/>
  <c r="CO16" i="6"/>
  <c r="BQ14" i="6"/>
  <c r="BQ16" i="6" s="1"/>
  <c r="BQ18" i="6" s="1"/>
  <c r="BQ19" i="6" s="1"/>
  <c r="BQ20" i="6" s="1"/>
  <c r="C41" i="1" l="1"/>
  <c r="FY29" i="6"/>
  <c r="FY31" i="6" s="1"/>
  <c r="FY32" i="6" s="1"/>
  <c r="FZ28" i="6"/>
  <c r="GA28" i="6" s="1"/>
  <c r="HP19" i="6"/>
  <c r="F37" i="24"/>
  <c r="G37" i="24" s="1"/>
  <c r="I37" i="24" s="1"/>
  <c r="AV37" i="1"/>
  <c r="GK22" i="6"/>
  <c r="GJ25" i="6"/>
  <c r="GB29" i="6"/>
  <c r="GB31" i="6" s="1"/>
  <c r="GB32" i="6" s="1"/>
  <c r="HN18" i="6"/>
  <c r="GC26" i="6"/>
  <c r="GA26" i="6"/>
  <c r="GK16" i="6"/>
  <c r="GJ19" i="6"/>
  <c r="GC27" i="6"/>
  <c r="GA27" i="6"/>
  <c r="FZ20" i="6"/>
  <c r="GA20" i="6" s="1"/>
  <c r="FZ18" i="6"/>
  <c r="FZ19" i="6"/>
  <c r="GA19" i="6" s="1"/>
  <c r="GK30" i="6"/>
  <c r="GJ33" i="6"/>
  <c r="GJ35" i="6" s="1"/>
  <c r="FZ21" i="6"/>
  <c r="GA21" i="6" s="1"/>
  <c r="GC21" i="6"/>
  <c r="BR14" i="6"/>
  <c r="BT14" i="6"/>
  <c r="CQ16" i="6"/>
  <c r="CQ17" i="6" s="1"/>
  <c r="CO17" i="6"/>
  <c r="C41" i="24" l="1"/>
  <c r="Y41" i="1"/>
  <c r="C42" i="1"/>
  <c r="C44" i="1" s="1"/>
  <c r="GC28" i="6"/>
  <c r="AM54" i="1"/>
  <c r="AU54" i="1" s="1"/>
  <c r="F54" i="24" s="1"/>
  <c r="GK25" i="6"/>
  <c r="GK35" i="6"/>
  <c r="GJ37" i="6"/>
  <c r="GK37" i="6" s="1"/>
  <c r="AM40" i="1" s="1"/>
  <c r="GJ27" i="6"/>
  <c r="AM35" i="1"/>
  <c r="GK33" i="6"/>
  <c r="GA18" i="6"/>
  <c r="GA29" i="6" s="1"/>
  <c r="FZ29" i="6"/>
  <c r="FZ31" i="6" s="1"/>
  <c r="FZ32" i="6" s="1"/>
  <c r="AM51" i="1"/>
  <c r="GK19" i="6"/>
  <c r="HO18" i="6"/>
  <c r="HO19" i="6" s="1"/>
  <c r="HN19" i="6"/>
  <c r="GC20" i="6"/>
  <c r="HQ18" i="6"/>
  <c r="HP21" i="6"/>
  <c r="HP22" i="6" s="1"/>
  <c r="GC19" i="6"/>
  <c r="GC18" i="6"/>
  <c r="BR16" i="6"/>
  <c r="BR18" i="6" s="1"/>
  <c r="BS14" i="6"/>
  <c r="CO19" i="6"/>
  <c r="CQ19" i="6" s="1"/>
  <c r="O40" i="1" s="1"/>
  <c r="O33" i="1"/>
  <c r="BT16" i="6"/>
  <c r="BT18" i="6" s="1"/>
  <c r="BT19" i="6" s="1"/>
  <c r="BT20" i="6" s="1"/>
  <c r="BU14" i="6"/>
  <c r="AV41" i="1" l="1"/>
  <c r="E41" i="24"/>
  <c r="G41" i="24" s="1"/>
  <c r="I41" i="24" s="1"/>
  <c r="C42" i="24"/>
  <c r="C44" i="24" s="1"/>
  <c r="C67" i="24" s="1"/>
  <c r="GK27" i="6"/>
  <c r="GK38" i="6"/>
  <c r="BE19" i="6"/>
  <c r="M12" i="2" s="1"/>
  <c r="GC29" i="6"/>
  <c r="GC31" i="6"/>
  <c r="AL40" i="1" s="1"/>
  <c r="AL33" i="1"/>
  <c r="W33" i="1"/>
  <c r="GA31" i="6"/>
  <c r="W40" i="1" s="1"/>
  <c r="HN21" i="6"/>
  <c r="HO21" i="6" s="1"/>
  <c r="HO22" i="6" s="1"/>
  <c r="HQ21" i="6"/>
  <c r="AQ40" i="1" s="1"/>
  <c r="AM57" i="1"/>
  <c r="AU51" i="1"/>
  <c r="CQ20" i="6"/>
  <c r="AU35" i="1"/>
  <c r="AM42" i="1"/>
  <c r="AM44" i="1" s="1"/>
  <c r="CO20" i="6"/>
  <c r="AQ33" i="1"/>
  <c r="HQ19" i="6"/>
  <c r="GJ38" i="6"/>
  <c r="O42" i="1"/>
  <c r="O44" i="1" s="1"/>
  <c r="L39" i="1"/>
  <c r="BS16" i="6"/>
  <c r="BU16" i="6"/>
  <c r="BU18" i="6" s="1"/>
  <c r="AC39" i="1"/>
  <c r="BR19" i="6"/>
  <c r="BS18" i="6"/>
  <c r="GC32" i="6" l="1"/>
  <c r="HN22" i="6"/>
  <c r="AQ42" i="1"/>
  <c r="AQ44" i="1" s="1"/>
  <c r="AQ61" i="1" s="1"/>
  <c r="K24" i="6"/>
  <c r="L22" i="22"/>
  <c r="AI28" i="6"/>
  <c r="M14" i="2"/>
  <c r="C38" i="6"/>
  <c r="GA32" i="6"/>
  <c r="W42" i="1"/>
  <c r="W44" i="1" s="1"/>
  <c r="W61" i="1" s="1"/>
  <c r="AM46" i="1"/>
  <c r="GJ1" i="6"/>
  <c r="F51" i="24"/>
  <c r="F57" i="24" s="1"/>
  <c r="F46" i="24" s="1"/>
  <c r="AU57" i="1"/>
  <c r="AU46" i="1" s="1"/>
  <c r="GK1" i="6"/>
  <c r="AM61" i="1"/>
  <c r="F35" i="24"/>
  <c r="G35" i="24" s="1"/>
  <c r="I35" i="24" s="1"/>
  <c r="AV35" i="1"/>
  <c r="AL42" i="1"/>
  <c r="AL44" i="1" s="1"/>
  <c r="HQ22" i="6"/>
  <c r="BR20" i="6"/>
  <c r="BS19" i="6"/>
  <c r="L40" i="1" s="1"/>
  <c r="L42" i="1" s="1"/>
  <c r="L44" i="1" s="1"/>
  <c r="BU19" i="6"/>
  <c r="AC40" i="1" s="1"/>
  <c r="AC42" i="1" s="1"/>
  <c r="AC44" i="1" s="1"/>
  <c r="CQ1" i="6"/>
  <c r="O61" i="1"/>
  <c r="DM23" i="6" l="1"/>
  <c r="DM24" i="6" s="1"/>
  <c r="DM27" i="6" s="1"/>
  <c r="DM29" i="6" s="1"/>
  <c r="DM30" i="6" s="1"/>
  <c r="DM31" i="6" s="1"/>
  <c r="HQ1" i="6"/>
  <c r="BS20" i="6"/>
  <c r="F68" i="24"/>
  <c r="AK28" i="6"/>
  <c r="P22" i="22"/>
  <c r="M22" i="22"/>
  <c r="L24" i="6"/>
  <c r="M24" i="6"/>
  <c r="BA15" i="6"/>
  <c r="AI30" i="6"/>
  <c r="K26" i="6"/>
  <c r="L26" i="22"/>
  <c r="C40" i="6"/>
  <c r="J14" i="2"/>
  <c r="M16" i="2"/>
  <c r="M18" i="2" s="1"/>
  <c r="H38" i="6"/>
  <c r="GC1" i="6"/>
  <c r="AL61" i="1"/>
  <c r="AC61" i="1"/>
  <c r="BS1" i="6"/>
  <c r="L61" i="1"/>
  <c r="BU20" i="6"/>
  <c r="BU1" i="6" s="1"/>
  <c r="BI17" i="6" l="1"/>
  <c r="BI21" i="6"/>
  <c r="BI20" i="6"/>
  <c r="BI22" i="6"/>
  <c r="BI19" i="6"/>
  <c r="BI18" i="6"/>
  <c r="BI16" i="6"/>
  <c r="BI23" i="6"/>
  <c r="DN23" i="6"/>
  <c r="M24" i="22"/>
  <c r="N22" i="22"/>
  <c r="Q22" i="22" s="1"/>
  <c r="O26" i="6"/>
  <c r="P26" i="22"/>
  <c r="M26" i="22"/>
  <c r="N26" i="22" s="1"/>
  <c r="O26" i="22" s="1"/>
  <c r="BA17" i="6"/>
  <c r="BB15" i="6"/>
  <c r="BC15" i="6"/>
  <c r="P24" i="22"/>
  <c r="H40" i="6"/>
  <c r="Z39" i="1" s="1"/>
  <c r="L26" i="6"/>
  <c r="L27" i="6" s="1"/>
  <c r="L29" i="6" s="1"/>
  <c r="L31" i="6" s="1"/>
  <c r="L32" i="6" s="1"/>
  <c r="M26" i="6"/>
  <c r="N26" i="6" s="1"/>
  <c r="E39" i="1" s="1"/>
  <c r="M19" i="2"/>
  <c r="M20" i="2" s="1"/>
  <c r="AK30" i="6"/>
  <c r="AM30" i="6" s="1"/>
  <c r="AN30" i="6" s="1"/>
  <c r="O24" i="6"/>
  <c r="AM28" i="6"/>
  <c r="Z30" i="1"/>
  <c r="N24" i="6"/>
  <c r="M27" i="6"/>
  <c r="M29" i="6" s="1"/>
  <c r="M31" i="6" s="1"/>
  <c r="M32" i="6" s="1"/>
  <c r="P28" i="22" l="1"/>
  <c r="P30" i="22" s="1"/>
  <c r="P31" i="22" s="1"/>
  <c r="P33" i="22" s="1"/>
  <c r="AK31" i="6"/>
  <c r="AK43" i="6" s="1"/>
  <c r="P26" i="6"/>
  <c r="AA39" i="1" s="1"/>
  <c r="DO23" i="6"/>
  <c r="DN24" i="6"/>
  <c r="E30" i="1"/>
  <c r="N27" i="6"/>
  <c r="N29" i="6" s="1"/>
  <c r="Q24" i="22"/>
  <c r="AT30" i="1"/>
  <c r="BD15" i="6"/>
  <c r="BD17" i="6" s="1"/>
  <c r="BC17" i="6"/>
  <c r="AK44" i="6"/>
  <c r="AM44" i="6" s="1"/>
  <c r="AN44" i="6" s="1"/>
  <c r="AM43" i="6"/>
  <c r="J30" i="1"/>
  <c r="BB17" i="6"/>
  <c r="AN28" i="6"/>
  <c r="AN31" i="6" s="1"/>
  <c r="AM31" i="6"/>
  <c r="BA18" i="6"/>
  <c r="H41" i="6"/>
  <c r="H43" i="6" s="1"/>
  <c r="N24" i="22"/>
  <c r="N28" i="22" s="1"/>
  <c r="O22" i="22"/>
  <c r="O24" i="22" s="1"/>
  <c r="O28" i="22" s="1"/>
  <c r="O30" i="22" s="1"/>
  <c r="O31" i="22" s="1"/>
  <c r="O33" i="22" s="1"/>
  <c r="P24" i="6"/>
  <c r="O27" i="6"/>
  <c r="O29" i="6" s="1"/>
  <c r="O31" i="6" s="1"/>
  <c r="O32" i="6" s="1"/>
  <c r="C60" i="1"/>
  <c r="AL60" i="1"/>
  <c r="AL62" i="1" s="1"/>
  <c r="L60" i="1"/>
  <c r="L62" i="1" s="1"/>
  <c r="P60" i="1"/>
  <c r="P62" i="1" s="1"/>
  <c r="AN60" i="1"/>
  <c r="AN62" i="1" s="1"/>
  <c r="U60" i="1"/>
  <c r="AF60" i="1"/>
  <c r="N60" i="1"/>
  <c r="N62" i="1" s="1"/>
  <c r="H60" i="24"/>
  <c r="W60" i="1"/>
  <c r="W62" i="1" s="1"/>
  <c r="M60" i="1"/>
  <c r="M62" i="1" s="1"/>
  <c r="AI60" i="1"/>
  <c r="AI62" i="1" s="1"/>
  <c r="AR60" i="1"/>
  <c r="AR62" i="1" s="1"/>
  <c r="C20" i="2"/>
  <c r="H60" i="1"/>
  <c r="X60" i="1"/>
  <c r="Q60" i="1"/>
  <c r="Q62" i="1" s="1"/>
  <c r="T60" i="1"/>
  <c r="T62" i="1" s="1"/>
  <c r="D60" i="24"/>
  <c r="S60" i="1"/>
  <c r="S62" i="1" s="1"/>
  <c r="K60" i="1"/>
  <c r="AC60" i="1"/>
  <c r="AC62" i="1" s="1"/>
  <c r="AP60" i="1"/>
  <c r="AP62" i="1" s="1"/>
  <c r="E60" i="1"/>
  <c r="AQ60" i="1"/>
  <c r="AQ62" i="1" s="1"/>
  <c r="G60" i="1"/>
  <c r="AM60" i="1"/>
  <c r="AM62" i="1" s="1"/>
  <c r="J60" i="1"/>
  <c r="I60" i="1"/>
  <c r="I62" i="1" s="1"/>
  <c r="F60" i="1"/>
  <c r="F62" i="1" s="1"/>
  <c r="AK60" i="1"/>
  <c r="AK62" i="1" s="1"/>
  <c r="AD60" i="1"/>
  <c r="AD62" i="1" s="1"/>
  <c r="V60" i="1"/>
  <c r="V62" i="1" s="1"/>
  <c r="AS60" i="1"/>
  <c r="AS62" i="1" s="1"/>
  <c r="I60" i="24"/>
  <c r="Y60" i="1"/>
  <c r="R60" i="1"/>
  <c r="D60" i="1"/>
  <c r="AB60" i="1"/>
  <c r="AU60" i="1"/>
  <c r="AG60" i="1"/>
  <c r="AG62" i="1" s="1"/>
  <c r="Z60" i="1"/>
  <c r="AE60" i="1"/>
  <c r="AE62" i="1" s="1"/>
  <c r="C60" i="24"/>
  <c r="AO60" i="1"/>
  <c r="AO62" i="1" s="1"/>
  <c r="AA60" i="1"/>
  <c r="AT60" i="1"/>
  <c r="AH60" i="1"/>
  <c r="AH62" i="1" s="1"/>
  <c r="AV60" i="1"/>
  <c r="E60" i="24"/>
  <c r="AJ60" i="1"/>
  <c r="AJ62" i="1" s="1"/>
  <c r="G60" i="24"/>
  <c r="O60" i="1"/>
  <c r="O62" i="1" s="1"/>
  <c r="F60" i="24"/>
  <c r="Q26" i="22"/>
  <c r="AT39" i="1" s="1"/>
  <c r="M28" i="22"/>
  <c r="M30" i="22" s="1"/>
  <c r="AK45" i="6" l="1"/>
  <c r="R33" i="1"/>
  <c r="DO24" i="6"/>
  <c r="Q28" i="22"/>
  <c r="Q30" i="22" s="1"/>
  <c r="M31" i="22"/>
  <c r="M33" i="22" s="1"/>
  <c r="N30" i="22"/>
  <c r="N31" i="22" s="1"/>
  <c r="N33" i="22" s="1"/>
  <c r="AA30" i="1"/>
  <c r="P27" i="6"/>
  <c r="P29" i="6" s="1"/>
  <c r="AM45" i="6"/>
  <c r="AN43" i="6"/>
  <c r="AN45" i="6" s="1"/>
  <c r="BB18" i="6"/>
  <c r="J40" i="1" s="1"/>
  <c r="J42" i="1" s="1"/>
  <c r="J44" i="1" s="1"/>
  <c r="BC18" i="6"/>
  <c r="BD18" i="6" s="1"/>
  <c r="BD19" i="6" s="1"/>
  <c r="AJ20" i="6"/>
  <c r="H44" i="6"/>
  <c r="Z40" i="1" s="1"/>
  <c r="Z42" i="1" s="1"/>
  <c r="Z44" i="1" s="1"/>
  <c r="Z61" i="1" s="1"/>
  <c r="Z62" i="1" s="1"/>
  <c r="N31" i="6"/>
  <c r="E40" i="1" s="1"/>
  <c r="E42" i="1" s="1"/>
  <c r="E44" i="1" s="1"/>
  <c r="E61" i="1" s="1"/>
  <c r="E62" i="1" s="1"/>
  <c r="N32" i="6"/>
  <c r="BA19" i="6"/>
  <c r="BC19" i="6" l="1"/>
  <c r="H45" i="6"/>
  <c r="H1" i="6" s="1"/>
  <c r="DQ26" i="6"/>
  <c r="BB19" i="6"/>
  <c r="BB1" i="6" s="1"/>
  <c r="P31" i="6"/>
  <c r="AA40" i="1" s="1"/>
  <c r="AA42" i="1" s="1"/>
  <c r="AA44" i="1" s="1"/>
  <c r="AU30" i="1"/>
  <c r="J61" i="1"/>
  <c r="J62" i="1" s="1"/>
  <c r="Q31" i="22"/>
  <c r="AT40" i="1" s="1"/>
  <c r="AT42" i="1" s="1"/>
  <c r="AT44" i="1" s="1"/>
  <c r="AL20" i="6"/>
  <c r="AJ25" i="6"/>
  <c r="F19" i="6"/>
  <c r="F20" i="6" s="1"/>
  <c r="Q33" i="22" l="1"/>
  <c r="P32" i="6"/>
  <c r="BK20" i="6"/>
  <c r="K30" i="1" s="1"/>
  <c r="BJ20" i="6"/>
  <c r="BK17" i="6"/>
  <c r="BJ17" i="6"/>
  <c r="DO26" i="6"/>
  <c r="BK16" i="6"/>
  <c r="BJ16" i="6"/>
  <c r="DP23" i="6"/>
  <c r="BK19" i="6"/>
  <c r="K29" i="1" s="1"/>
  <c r="X29" i="1" s="1"/>
  <c r="BJ19" i="6"/>
  <c r="BK23" i="6"/>
  <c r="K33" i="1" s="1"/>
  <c r="BJ23" i="6"/>
  <c r="BK18" i="6"/>
  <c r="BJ18" i="6"/>
  <c r="AF39" i="1"/>
  <c r="AU39" i="1" s="1"/>
  <c r="F39" i="24" s="1"/>
  <c r="BK22" i="6"/>
  <c r="BJ22" i="6"/>
  <c r="BK21" i="6"/>
  <c r="K31" i="1" s="1"/>
  <c r="X31" i="1" s="1"/>
  <c r="BJ21" i="6"/>
  <c r="BI15" i="6"/>
  <c r="BI24" i="6" s="1"/>
  <c r="BI27" i="6" s="1"/>
  <c r="BI29" i="6" s="1"/>
  <c r="BI30" i="6" s="1"/>
  <c r="F30" i="24"/>
  <c r="AJ29" i="6"/>
  <c r="AJ28" i="6"/>
  <c r="AJ30" i="6"/>
  <c r="AA61" i="1"/>
  <c r="AA62" i="1" s="1"/>
  <c r="P1" i="6"/>
  <c r="H14" i="1"/>
  <c r="H17" i="1" s="1"/>
  <c r="AL25" i="6"/>
  <c r="D14" i="1"/>
  <c r="F31" i="6"/>
  <c r="Q1" i="22"/>
  <c r="A1" i="22" s="1"/>
  <c r="AT61" i="1"/>
  <c r="AT62" i="1" s="1"/>
  <c r="BM23" i="6" l="1"/>
  <c r="BL23" i="6"/>
  <c r="D29" i="24"/>
  <c r="E29" i="24" s="1"/>
  <c r="G29" i="24" s="1"/>
  <c r="I29" i="24" s="1"/>
  <c r="Y29" i="1"/>
  <c r="D31" i="24"/>
  <c r="E31" i="24" s="1"/>
  <c r="G31" i="24" s="1"/>
  <c r="I31" i="24" s="1"/>
  <c r="Y31" i="1"/>
  <c r="BM18" i="6"/>
  <c r="BL18" i="6"/>
  <c r="K28" i="1" s="1"/>
  <c r="X28" i="1" s="1"/>
  <c r="BM19" i="6"/>
  <c r="BL19" i="6"/>
  <c r="BM16" i="6"/>
  <c r="BL16" i="6"/>
  <c r="BM21" i="6"/>
  <c r="BL21" i="6"/>
  <c r="DQ23" i="6"/>
  <c r="DP24" i="6"/>
  <c r="BM17" i="6"/>
  <c r="BL17" i="6"/>
  <c r="BM22" i="6"/>
  <c r="BL22" i="6"/>
  <c r="BM20" i="6"/>
  <c r="BL20" i="6"/>
  <c r="R39" i="1"/>
  <c r="DN27" i="6"/>
  <c r="DO27" i="6"/>
  <c r="DO29" i="6" s="1"/>
  <c r="DN26" i="6"/>
  <c r="DP26" i="6" s="1"/>
  <c r="AJ31" i="6"/>
  <c r="AJ43" i="6" s="1"/>
  <c r="AJ44" i="6" s="1"/>
  <c r="AJ45" i="6" s="1"/>
  <c r="F39" i="6"/>
  <c r="D33" i="1" s="1"/>
  <c r="F38" i="6"/>
  <c r="F40" i="6"/>
  <c r="D39" i="1" s="1"/>
  <c r="X14" i="1"/>
  <c r="D17" i="1"/>
  <c r="AL29" i="6"/>
  <c r="H33" i="1" s="1"/>
  <c r="AL28" i="6"/>
  <c r="AL30" i="6"/>
  <c r="H39" i="1" s="1"/>
  <c r="X33" i="1" l="1"/>
  <c r="AV31" i="1"/>
  <c r="AV29" i="1"/>
  <c r="DO30" i="6"/>
  <c r="R40" i="1" s="1"/>
  <c r="DN29" i="6"/>
  <c r="DN30" i="6" s="1"/>
  <c r="DN31" i="6" s="1"/>
  <c r="DP27" i="6"/>
  <c r="DP29" i="6" s="1"/>
  <c r="DP30" i="6" s="1"/>
  <c r="DP31" i="6" s="1"/>
  <c r="BJ15" i="6"/>
  <c r="BJ24" i="6" s="1"/>
  <c r="AF33" i="1"/>
  <c r="DQ24" i="6"/>
  <c r="DQ27" i="6" s="1"/>
  <c r="DQ29" i="6" s="1"/>
  <c r="R42" i="1"/>
  <c r="R44" i="1" s="1"/>
  <c r="D28" i="24"/>
  <c r="E28" i="24" s="1"/>
  <c r="G28" i="24" s="1"/>
  <c r="I28" i="24" s="1"/>
  <c r="Y28" i="1"/>
  <c r="D14" i="24"/>
  <c r="Y14" i="1"/>
  <c r="X17" i="1"/>
  <c r="Y33" i="1"/>
  <c r="D33" i="24"/>
  <c r="E33" i="24" s="1"/>
  <c r="H30" i="1"/>
  <c r="AL31" i="6"/>
  <c r="AL43" i="6" s="1"/>
  <c r="F41" i="6"/>
  <c r="F43" i="6" s="1"/>
  <c r="D30" i="1"/>
  <c r="AV28" i="1" l="1"/>
  <c r="BL15" i="6"/>
  <c r="BL24" i="6" s="1"/>
  <c r="R61" i="1"/>
  <c r="R62" i="1" s="1"/>
  <c r="BK15" i="6"/>
  <c r="DQ30" i="6"/>
  <c r="AF40" i="1" s="1"/>
  <c r="DQ31" i="6"/>
  <c r="DO31" i="6"/>
  <c r="DO1" i="6" s="1"/>
  <c r="BJ26" i="6"/>
  <c r="BJ27" i="6" s="1"/>
  <c r="AF42" i="1"/>
  <c r="AF44" i="1" s="1"/>
  <c r="AU33" i="1"/>
  <c r="F33" i="24" s="1"/>
  <c r="G33" i="24" s="1"/>
  <c r="AL44" i="6"/>
  <c r="H40" i="1" s="1"/>
  <c r="H42" i="1" s="1"/>
  <c r="H44" i="1" s="1"/>
  <c r="F44" i="6"/>
  <c r="D40" i="1" s="1"/>
  <c r="D42" i="1" s="1"/>
  <c r="D44" i="1" s="1"/>
  <c r="F45" i="6"/>
  <c r="X30" i="1"/>
  <c r="Y17" i="1"/>
  <c r="AV14" i="1"/>
  <c r="AV17" i="1" s="1"/>
  <c r="E14" i="24"/>
  <c r="D17" i="24"/>
  <c r="BJ29" i="6" l="1"/>
  <c r="BJ30" i="6"/>
  <c r="AL45" i="6"/>
  <c r="BK26" i="6"/>
  <c r="K39" i="1" s="1"/>
  <c r="X39" i="1" s="1"/>
  <c r="BL26" i="6"/>
  <c r="DQ1" i="6"/>
  <c r="AF61" i="1"/>
  <c r="AF62" i="1" s="1"/>
  <c r="BK24" i="6"/>
  <c r="K27" i="1"/>
  <c r="BL27" i="6"/>
  <c r="AV33" i="1"/>
  <c r="BM15" i="6"/>
  <c r="BM24" i="6" s="1"/>
  <c r="D61" i="1"/>
  <c r="D62" i="1" s="1"/>
  <c r="G1" i="6"/>
  <c r="E17" i="24"/>
  <c r="G14" i="24"/>
  <c r="G17" i="24" s="1"/>
  <c r="Y30" i="1"/>
  <c r="D30" i="24"/>
  <c r="E30" i="24" s="1"/>
  <c r="G30" i="24" s="1"/>
  <c r="AL1" i="6"/>
  <c r="H61" i="1"/>
  <c r="H62" i="1" s="1"/>
  <c r="AV30" i="1" l="1"/>
  <c r="D39" i="24"/>
  <c r="E39" i="24" s="1"/>
  <c r="G39" i="24" s="1"/>
  <c r="Y39" i="1"/>
  <c r="BM26" i="6"/>
  <c r="BM27" i="6" s="1"/>
  <c r="BM29" i="6" s="1"/>
  <c r="BM30" i="6" s="1"/>
  <c r="X27" i="1"/>
  <c r="BK27" i="6"/>
  <c r="BK29" i="6"/>
  <c r="K40" i="1" s="1"/>
  <c r="K42" i="1" s="1"/>
  <c r="K44" i="1" s="1"/>
  <c r="BL29" i="6"/>
  <c r="BL30" i="6" s="1"/>
  <c r="AV39" i="1" l="1"/>
  <c r="K61" i="1"/>
  <c r="K62" i="1" s="1"/>
  <c r="BK30" i="6"/>
  <c r="BK1" i="6" s="1"/>
  <c r="D27" i="24"/>
  <c r="E27" i="24" s="1"/>
  <c r="G27" i="24" s="1"/>
  <c r="I27" i="24" s="1"/>
  <c r="Y27" i="1"/>
  <c r="AV27" i="1" l="1"/>
  <c r="EK16" i="6" l="1"/>
  <c r="C53" i="1"/>
  <c r="C53" i="24" s="1"/>
  <c r="C54" i="1"/>
  <c r="C54" i="24" s="1"/>
  <c r="EK17" i="6"/>
  <c r="EL14" i="6"/>
  <c r="EK14" i="6" l="1"/>
  <c r="EM14" i="6" s="1"/>
  <c r="C51" i="1"/>
  <c r="EL16" i="6"/>
  <c r="EL17" i="6"/>
  <c r="EN14" i="6"/>
  <c r="C52" i="1"/>
  <c r="C52" i="24" s="1"/>
  <c r="EK15" i="6"/>
  <c r="EL15" i="6"/>
  <c r="EN17" i="6" l="1"/>
  <c r="EO17" i="6" s="1"/>
  <c r="EM17" i="6"/>
  <c r="U54" i="1" s="1"/>
  <c r="EN16" i="6"/>
  <c r="EO16" i="6" s="1"/>
  <c r="EM16" i="6"/>
  <c r="U53" i="1" s="1"/>
  <c r="EN15" i="6"/>
  <c r="EO15" i="6" s="1"/>
  <c r="EM15" i="6"/>
  <c r="U52" i="1" s="1"/>
  <c r="C51" i="24"/>
  <c r="EO14" i="6"/>
  <c r="U51" i="1"/>
  <c r="X53" i="1" l="1"/>
  <c r="X54" i="1"/>
  <c r="X52" i="1"/>
  <c r="D52" i="24" s="1"/>
  <c r="E52" i="24" s="1"/>
  <c r="G52" i="24" s="1"/>
  <c r="I52" i="24" s="1"/>
  <c r="Y52" i="1"/>
  <c r="X51" i="1"/>
  <c r="Y53" i="1"/>
  <c r="D53" i="24"/>
  <c r="E53" i="24" s="1"/>
  <c r="G53" i="24" s="1"/>
  <c r="I53" i="24" s="1"/>
  <c r="D54" i="24"/>
  <c r="E54" i="24" s="1"/>
  <c r="G54" i="24" s="1"/>
  <c r="I54" i="24" s="1"/>
  <c r="Y54" i="1"/>
  <c r="AV54" i="1" l="1"/>
  <c r="AV52" i="1"/>
  <c r="AV53" i="1"/>
  <c r="D51" i="24"/>
  <c r="Y51" i="1"/>
  <c r="AV51" i="1" l="1"/>
  <c r="E51" i="24"/>
  <c r="EK18" i="6" l="1"/>
  <c r="EK20" i="6" s="1"/>
  <c r="C55" i="1"/>
  <c r="G51" i="24"/>
  <c r="EL18" i="6"/>
  <c r="I51" i="24" l="1"/>
  <c r="C55" i="24"/>
  <c r="C57" i="1"/>
  <c r="EM18" i="6"/>
  <c r="EN18" i="6"/>
  <c r="EL20" i="6"/>
  <c r="EO18" i="6" l="1"/>
  <c r="EO20" i="6" s="1"/>
  <c r="EN20" i="6"/>
  <c r="C58" i="1"/>
  <c r="C46" i="1"/>
  <c r="C61" i="1"/>
  <c r="C62" i="1" s="1"/>
  <c r="C57" i="24"/>
  <c r="U55" i="1"/>
  <c r="EM20" i="6"/>
  <c r="C46" i="24" l="1"/>
  <c r="C48" i="24" s="1"/>
  <c r="C61" i="24"/>
  <c r="C62" i="24" s="1"/>
  <c r="X55" i="1"/>
  <c r="U57" i="1"/>
  <c r="C48" i="1"/>
  <c r="C68" i="24"/>
  <c r="Y55" i="1" l="1"/>
  <c r="D55" i="24"/>
  <c r="X57" i="1"/>
  <c r="X46" i="1" s="1"/>
  <c r="EM1" i="6"/>
  <c r="U61" i="1"/>
  <c r="U62" i="1" s="1"/>
  <c r="U46" i="1"/>
  <c r="D57" i="24" l="1"/>
  <c r="D46" i="24" s="1"/>
  <c r="D68" i="24" s="1"/>
  <c r="E55" i="24"/>
  <c r="AV55" i="1"/>
  <c r="AV57" i="1" s="1"/>
  <c r="AV46" i="1" s="1"/>
  <c r="Y57" i="1"/>
  <c r="Y46" i="1" s="1"/>
  <c r="G55" i="24" l="1"/>
  <c r="E57" i="24"/>
  <c r="E46" i="24" l="1"/>
  <c r="E68" i="24" s="1"/>
  <c r="AC14" i="6"/>
  <c r="AC19" i="6" s="1"/>
  <c r="AD14" i="6"/>
  <c r="I55" i="24"/>
  <c r="I57" i="24" s="1"/>
  <c r="I46" i="24" s="1"/>
  <c r="G57" i="24"/>
  <c r="G46" i="24" l="1"/>
  <c r="AE14" i="6"/>
  <c r="AC21" i="6"/>
  <c r="AC22" i="6" s="1"/>
  <c r="AD19" i="6"/>
  <c r="AD21" i="6" s="1"/>
  <c r="AD22" i="6" l="1"/>
  <c r="G40" i="1"/>
  <c r="AF14" i="6"/>
  <c r="AE19" i="6"/>
  <c r="C12" i="2"/>
  <c r="C15" i="2" s="1"/>
  <c r="G68" i="24"/>
  <c r="AF19" i="6" l="1"/>
  <c r="AF21" i="6" s="1"/>
  <c r="AE21" i="6"/>
  <c r="AE22" i="6" s="1"/>
  <c r="G42" i="1"/>
  <c r="G44" i="1" s="1"/>
  <c r="X40" i="1"/>
  <c r="Y40" i="1" l="1"/>
  <c r="D40" i="24"/>
  <c r="X42" i="1"/>
  <c r="X44" i="1" s="1"/>
  <c r="AD1" i="6"/>
  <c r="G61" i="1"/>
  <c r="G62" i="1" s="1"/>
  <c r="AB40" i="1"/>
  <c r="AF22" i="6"/>
  <c r="Y42" i="1" l="1"/>
  <c r="Y44" i="1" s="1"/>
  <c r="AB42" i="1"/>
  <c r="AB44" i="1" s="1"/>
  <c r="AU40" i="1"/>
  <c r="E40" i="24"/>
  <c r="D42" i="24"/>
  <c r="D44" i="24" s="1"/>
  <c r="D61" i="24" s="1"/>
  <c r="D62" i="24" s="1"/>
  <c r="X61" i="1"/>
  <c r="X62" i="1" s="1"/>
  <c r="Y48" i="1"/>
  <c r="Y61" i="1"/>
  <c r="Y62" i="1" s="1"/>
  <c r="AU42" i="1" l="1"/>
  <c r="AU44" i="1" s="1"/>
  <c r="F40" i="24"/>
  <c r="F42" i="24" s="1"/>
  <c r="F44" i="24" s="1"/>
  <c r="F61" i="24" s="1"/>
  <c r="F62" i="24" s="1"/>
  <c r="AV40" i="1"/>
  <c r="AV42" i="1" s="1"/>
  <c r="AV44" i="1" s="1"/>
  <c r="D67" i="24"/>
  <c r="E42" i="24"/>
  <c r="E44" i="24" s="1"/>
  <c r="AF1" i="6"/>
  <c r="AB61" i="1"/>
  <c r="AB62" i="1" s="1"/>
  <c r="G40" i="24" l="1"/>
  <c r="G42" i="24" s="1"/>
  <c r="G44" i="24" s="1"/>
  <c r="G61" i="24" s="1"/>
  <c r="G62" i="24" s="1"/>
  <c r="E48" i="24"/>
  <c r="E61" i="24"/>
  <c r="E62" i="24" s="1"/>
  <c r="E65" i="24" s="1"/>
  <c r="E67" i="24"/>
  <c r="AV61" i="1"/>
  <c r="AV62" i="1" s="1"/>
  <c r="AV48" i="1"/>
  <c r="F67" i="24"/>
  <c r="AU61" i="1"/>
  <c r="AU62" i="1" s="1"/>
  <c r="G65" i="24" l="1"/>
  <c r="C17" i="2"/>
  <c r="C18" i="2" s="1"/>
  <c r="C21" i="2" s="1"/>
  <c r="H33" i="24" s="1"/>
  <c r="I33" i="24" s="1"/>
  <c r="G48" i="24"/>
  <c r="G67" i="24"/>
  <c r="H14" i="24" l="1"/>
  <c r="H17" i="24" s="1"/>
  <c r="C28" i="2"/>
  <c r="H39" i="24"/>
  <c r="I39" i="24" s="1"/>
  <c r="H30" i="24"/>
  <c r="I30" i="24" s="1"/>
  <c r="H40" i="24"/>
  <c r="I40" i="24" s="1"/>
  <c r="H42" i="24" l="1"/>
  <c r="I14" i="24"/>
  <c r="I17" i="24" s="1"/>
  <c r="I42" i="24"/>
  <c r="I11" i="24"/>
  <c r="H44" i="24"/>
  <c r="H61" i="24" s="1"/>
  <c r="H62" i="24" s="1"/>
  <c r="I44" i="24" l="1"/>
  <c r="I48" i="24" s="1"/>
  <c r="I61" i="24" l="1"/>
  <c r="I62" i="24" s="1"/>
  <c r="P12" i="2" l="1"/>
  <c r="P15" i="2" s="1"/>
  <c r="C32" i="2" s="1"/>
  <c r="C34" i="2" l="1"/>
  <c r="C30" i="2"/>
</calcChain>
</file>

<file path=xl/sharedStrings.xml><?xml version="1.0" encoding="utf-8"?>
<sst xmlns="http://schemas.openxmlformats.org/spreadsheetml/2006/main" count="1417" uniqueCount="543">
  <si>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</si>
  <si>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</si>
  <si>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</si>
  <si>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</si>
  <si>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</si>
  <si>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</si>
  <si>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</si>
  <si>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</si>
  <si>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</si>
  <si>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</si>
  <si>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</si>
  <si>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</si>
  <si>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</si>
  <si>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</si>
  <si>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</si>
  <si>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</si>
  <si>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</si>
  <si>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</si>
  <si>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</si>
  <si>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</si>
  <si>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</si>
  <si>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</si>
  <si>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</si>
  <si>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</si>
  <si>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</si>
  <si>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</si>
  <si>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</si>
  <si>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</si>
  <si>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</si>
  <si>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</si>
  <si>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</si>
  <si>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</si>
  <si>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</si>
  <si>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</si>
  <si>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</si>
  <si>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</si>
  <si>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</si>
  <si>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</si>
  <si>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</si>
  <si>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</si>
  <si>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</si>
  <si>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</si>
  <si>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</si>
  <si>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</si>
  <si>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</si>
  <si>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</si>
  <si>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</si>
  <si>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</si>
  <si>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</si>
  <si>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</si>
  <si>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</si>
  <si>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</si>
  <si>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</si>
  <si>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</si>
  <si>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</si>
  <si>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</si>
  <si>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</si>
  <si>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</si>
  <si>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</si>
  <si>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</si>
  <si>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</si>
  <si>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</si>
  <si>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</si>
  <si>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</si>
  <si>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</si>
  <si>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</si>
  <si>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</si>
  <si>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</si>
  <si>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</si>
  <si>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</si>
  <si>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</si>
  <si>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</si>
  <si>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</si>
  <si>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</si>
  <si>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</si>
  <si>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</si>
  <si>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</si>
  <si>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</si>
  <si>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</si>
  <si>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</si>
  <si>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</si>
  <si>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</si>
  <si>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</si>
  <si>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</si>
  <si>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</si>
  <si>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</si>
  <si>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</si>
  <si>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</si>
  <si>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</si>
  <si>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</si>
  <si>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</si>
  <si>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</si>
  <si>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</si>
  <si>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</si>
  <si>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</si>
  <si>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</si>
  <si>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</si>
  <si>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</si>
  <si>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</si>
  <si>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</si>
  <si>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</si>
  <si>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</si>
  <si>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</si>
  <si>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</si>
  <si>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</si>
  <si>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</si>
  <si>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</si>
  <si>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</si>
  <si>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</si>
  <si>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</si>
  <si>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</si>
  <si>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</si>
  <si>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</si>
  <si>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</si>
  <si>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</si>
  <si>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</si>
  <si>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</si>
  <si>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</si>
  <si>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</si>
  <si>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</si>
  <si>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</si>
  <si>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</si>
  <si>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</si>
  <si>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</si>
  <si>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</si>
  <si>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</si>
  <si>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</si>
  <si>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</si>
  <si>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</si>
  <si>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</si>
  <si>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</si>
  <si>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</si>
  <si>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</si>
  <si>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</si>
  <si>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</si>
  <si>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</si>
  <si>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</si>
  <si>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</si>
  <si>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</si>
  <si>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</si>
  <si>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</si>
  <si>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</si>
  <si>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</si>
  <si>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</si>
  <si>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</si>
  <si>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</si>
  <si>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</si>
  <si>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</si>
  <si>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</si>
  <si>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</si>
  <si>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</si>
  <si>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</si>
  <si>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</si>
  <si>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</si>
  <si>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</si>
  <si>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</si>
  <si>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</si>
  <si>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</si>
  <si>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</si>
  <si>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</si>
  <si>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</si>
  <si>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</si>
  <si>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</si>
  <si>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</si>
  <si>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</si>
  <si>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</si>
  <si>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</si>
  <si>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</si>
  <si>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</si>
  <si>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</si>
  <si>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</si>
  <si>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</si>
  <si>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</si>
  <si>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</si>
  <si>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</si>
  <si>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</si>
  <si>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</si>
  <si>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</si>
  <si>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</si>
  <si>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</si>
  <si>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</si>
  <si>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</si>
  <si>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</si>
  <si>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</si>
  <si>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</si>
  <si>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</si>
  <si>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</si>
  <si>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</si>
  <si>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</si>
  <si>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</si>
  <si>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</si>
  <si>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</si>
  <si>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</si>
  <si>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</si>
  <si>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</si>
  <si>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</si>
  <si>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</si>
  <si>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</si>
  <si>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</si>
  <si>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</si>
  <si>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</si>
  <si>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</si>
  <si>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</si>
  <si>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</si>
  <si>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</si>
  <si>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</si>
  <si>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</si>
  <si>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</si>
  <si>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</si>
  <si>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</si>
  <si>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</si>
  <si>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</si>
  <si>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</si>
  <si>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</si>
  <si>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</si>
  <si>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</si>
  <si>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</si>
  <si>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</si>
  <si>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</si>
  <si>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</si>
  <si>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</si>
  <si>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</si>
  <si>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</si>
  <si>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</si>
  <si>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</si>
  <si>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</si>
  <si>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</si>
  <si>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</si>
  <si>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</si>
  <si>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</si>
  <si>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</si>
  <si>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</si>
  <si>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</si>
  <si>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</si>
  <si>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</si>
  <si>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</si>
  <si>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</si>
  <si>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</si>
  <si>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</si>
  <si>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</si>
  <si>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</si>
  <si>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</si>
  <si>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</si>
  <si>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</si>
  <si>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</si>
  <si>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</si>
  <si>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</si>
  <si>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</si>
  <si>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</si>
  <si>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</si>
  <si>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</si>
  <si>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</si>
  <si>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</si>
  <si>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</si>
  <si>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</si>
  <si>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</si>
  <si>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</si>
  <si>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</si>
  <si>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</si>
  <si>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</si>
  <si>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</si>
  <si>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</si>
  <si>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</si>
  <si>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</si>
  <si>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</si>
  <si>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</si>
  <si>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</si>
  <si>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</si>
  <si>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</si>
  <si>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</si>
  <si>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</si>
  <si>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</si>
  <si>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</si>
  <si>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</si>
  <si>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</si>
  <si>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</si>
  <si>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</si>
  <si>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</si>
  <si>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</si>
  <si>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</si>
  <si>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</si>
  <si>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</si>
  <si>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</si>
  <si>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</si>
  <si>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</si>
  <si>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</si>
  <si>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</si>
  <si>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</si>
  <si>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</si>
  <si>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</si>
  <si>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</si>
  <si>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</si>
  <si>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</si>
  <si>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</si>
  <si>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</si>
  <si>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</si>
  <si>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</si>
  <si>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</si>
  <si>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</si>
  <si>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</si>
  <si>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</si>
  <si>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</si>
  <si>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</si>
  <si>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</si>
  <si>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</si>
  <si>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</si>
  <si>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CHECK AGAINST CBR - GREEN CELLS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</si>
  <si>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</si>
  <si>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</si>
  <si>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</si>
  <si>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</si>
  <si>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</si>
  <si>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</si>
  <si>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</si>
  <si>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</si>
  <si>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</si>
  <si>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</si>
  <si>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</si>
  <si>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</si>
  <si>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</si>
  <si>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</si>
  <si>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</si>
  <si>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</si>
  <si>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</si>
  <si>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</si>
  <si>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</si>
  <si>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</si>
  <si>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</si>
  <si>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</si>
  <si>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</si>
  <si>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</si>
  <si>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</si>
  <si>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</si>
  <si>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</si>
  <si>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</si>
  <si>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</si>
  <si>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</si>
  <si>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</si>
  <si>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</si>
  <si>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</si>
  <si>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</si>
  <si>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</si>
  <si>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</si>
  <si>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</si>
  <si>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</si>
  <si>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</si>
  <si>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</si>
  <si>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</si>
  <si>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</si>
  <si>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</si>
  <si>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</si>
  <si>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</si>
  <si>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</si>
  <si>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</si>
  <si>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</si>
  <si>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</si>
  <si>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</si>
  <si>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</si>
  <si>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</si>
  <si>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</si>
  <si>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</si>
  <si>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</si>
  <si>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</si>
  <si>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</si>
  <si>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</si>
  <si>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</si>
  <si>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</si>
  <si>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</si>
  <si>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</si>
  <si>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</si>
  <si>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</si>
  <si>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</si>
  <si>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</si>
  <si>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</si>
  <si>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</si>
  <si>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</si>
  <si>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</si>
  <si>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</si>
  <si>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</si>
  <si>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</si>
  <si>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</si>
  <si>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</si>
  <si>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</si>
  <si>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</si>
  <si>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</si>
  <si>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</si>
  <si>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</si>
  <si>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</si>
  <si>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</si>
  <si>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</si>
  <si>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</si>
  <si>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</si>
  <si>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</si>
  <si>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</si>
  <si>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</si>
  <si>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</si>
  <si>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</si>
  <si>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</si>
  <si>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</si>
  <si>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</si>
  <si>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</si>
  <si>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</si>
  <si>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</si>
  <si>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</si>
  <si>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</si>
  <si>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</si>
  <si>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</si>
  <si>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</si>
  <si>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</si>
  <si>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</si>
  <si>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</si>
  <si>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</si>
  <si>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</si>
  <si>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</si>
  <si>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</si>
  <si>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</si>
  <si>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</si>
  <si>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</si>
  <si>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</si>
  <si>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</si>
  <si>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</si>
  <si>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</si>
  <si>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</si>
  <si>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</si>
  <si>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</si>
  <si>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</si>
  <si>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</si>
  <si>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</si>
  <si>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</si>
  <si>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</si>
  <si>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</si>
  <si>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</si>
  <si>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</si>
  <si>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</si>
  <si>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</si>
  <si>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</si>
  <si>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</si>
  <si>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</si>
  <si>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</si>
  <si>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</si>
  <si>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v = ∑ b through u</t>
  </si>
  <si>
    <t>w = a + v</t>
  </si>
  <si>
    <t>an</t>
  </si>
  <si>
    <t>ar</t>
  </si>
  <si>
    <t>Exh. SEF-6G page 2 of 29</t>
  </si>
  <si>
    <t>Exh. SEF-6G page 4 of 29</t>
  </si>
  <si>
    <t>Exh. SEF-6G page 5 of 29</t>
  </si>
  <si>
    <t>Exh. SEF-6G page 6 of 29</t>
  </si>
  <si>
    <t>Exh. SEF-6G page 7 of 29</t>
  </si>
  <si>
    <t>Exh. SEF-6G page 8 of 29</t>
  </si>
  <si>
    <t>Exh. SEF-6G page 9 of 29</t>
  </si>
  <si>
    <t>Exh. SEF-6G page 10 of 29</t>
  </si>
  <si>
    <t>Exh. SEF-6G page 11 of 29</t>
  </si>
  <si>
    <t>Exh. SEF-6G page 12 of 29</t>
  </si>
  <si>
    <t>Exh. SEF-6G page 13 of 29</t>
  </si>
  <si>
    <t>Exh. SEF-6G page 14 of 29</t>
  </si>
  <si>
    <t>Exh. SEF-6G page 15 of 29</t>
  </si>
  <si>
    <t>Exh. SEF-6G page 16 of 29</t>
  </si>
  <si>
    <t>Exh. SEF-6G page 17 of 29</t>
  </si>
  <si>
    <t>Exh. SEF-6G page 18 of 29</t>
  </si>
  <si>
    <t>Exh. SEF-6G page 19 of 29</t>
  </si>
  <si>
    <t>Exh. SEF-6G page 20 of 29</t>
  </si>
  <si>
    <t>Exh. SEF-6G page 21 of 29</t>
  </si>
  <si>
    <t>Exh. SEF-6G page 22 of 29</t>
  </si>
  <si>
    <t>Exh. SEF-6G page 23 of 29</t>
  </si>
  <si>
    <t>Exh. SEF-6G page 24 of 29</t>
  </si>
  <si>
    <t>Exh. SEF-6G page 25 of 29</t>
  </si>
  <si>
    <t>Exh. SEF-6G page 26 of 29</t>
  </si>
  <si>
    <t>Exh. SEF-6G page 27 of 29</t>
  </si>
  <si>
    <t>Exh. SEF-6G page 28 of 29</t>
  </si>
  <si>
    <t>Exh. SEF-6G page 29 of 29</t>
  </si>
  <si>
    <t>Exh. SEF-8G page 1 of 2</t>
  </si>
  <si>
    <t>Exh. SEF-8G page 2 of 2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</si>
  <si>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</si>
  <si>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</si>
  <si>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</si>
  <si>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</si>
  <si>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</si>
  <si>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</si>
  <si>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</si>
  <si>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</si>
  <si>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</si>
  <si>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</si>
  <si>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</si>
  <si>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</si>
  <si>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</si>
  <si>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</si>
  <si>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</si>
  <si>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</si>
  <si>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</si>
  <si>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</si>
  <si>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</si>
  <si>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</si>
  <si>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</si>
  <si>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</si>
  <si>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</si>
  <si>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</si>
  <si>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</si>
  <si>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as ∑ x thru ar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</si>
  <si>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</si>
  <si>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</si>
  <si>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</si>
  <si>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</si>
  <si>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</si>
  <si>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</si>
  <si>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</si>
  <si>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</si>
  <si>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</si>
  <si>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</si>
  <si>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Exh. SEF-6G page 3 of 29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</si>
  <si>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</si>
  <si>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</si>
  <si>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</si>
  <si>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</si>
  <si>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</si>
  <si>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EXH. SEF-4G page 1 of 5</t>
  </si>
  <si>
    <t>EXH. SEF-4G page 2 of 5</t>
  </si>
  <si>
    <t>EXH. SEF-4G page 3 of 5</t>
  </si>
  <si>
    <t>EXH. SEF-4G page 4 of 5</t>
  </si>
  <si>
    <t>EXH. SEF-4G page 5 of 5</t>
  </si>
  <si>
    <t>Exh. SEF-6G page 1 of 29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</si>
  <si>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</si>
  <si>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</si>
  <si>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</si>
  <si>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</si>
  <si>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</si>
  <si>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</si>
  <si>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</si>
  <si>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</si>
  <si>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</si>
  <si>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</si>
  <si>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r>
      <t xml:space="preserve">NET REVENUE CHANGE REQUESTED </t>
    </r>
    <r>
      <rPr>
        <sz val="11"/>
        <rFont val="Times New Roman"/>
        <family val="1"/>
      </rPr>
      <t>EXH. JAP-15</t>
    </r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</si>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</sst>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5" fillId="0" borderId="0">
      <alignment horizontal="left" wrapText="1"/>
    </xf>
    <xf numFmtId="0" fontId="7" fillId="0" borderId="0"/>
  </cellStyleXfs>
  <cellXfs count="510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43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41" fontId="24" fillId="0" borderId="0" xfId="0" applyNumberFormat="1" applyFont="1"/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9" fontId="18" fillId="0" borderId="0" xfId="0" applyNumberFormat="1" applyFont="1"/>
    <xf numFmtId="188" fontId="18" fillId="0" borderId="27" xfId="0" applyNumberFormat="1" applyFont="1" applyFill="1" applyBorder="1"/>
    <xf numFmtId="41" fontId="18" fillId="0" borderId="26" xfId="0" applyNumberFormat="1" applyFont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168" fontId="18" fillId="0" borderId="24" xfId="0" applyNumberFormat="1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Fill="1" applyBorder="1"/>
    <xf numFmtId="41" fontId="1" fillId="0" borderId="26" xfId="0" applyNumberFormat="1" applyFont="1" applyFill="1" applyBorder="1"/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41" fontId="4" fillId="0" borderId="5" xfId="0" applyNumberFormat="1" applyFont="1" applyBorder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42" fontId="18" fillId="0" borderId="4" xfId="0" applyNumberFormat="1" applyFont="1" applyFill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135" xfId="2"/>
    <cellStyle name="Normal 2" xfId="1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CCFF33"/>
      <color rgb="FF00FFFF"/>
      <color rgb="FF0000FF"/>
      <color rgb="FFFFCC00"/>
      <color rgb="FF008000"/>
      <color rgb="FFFF66CC"/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1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st-of-Capital-19GRC-06-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9E-6.09G-ExciseTaxFilingFee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0E-6.10G-DnOInsuranc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E-6.11G-InterestCustDep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3E-6.13G-Pension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8E-6.28G-ContractEsc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2G-TempNorm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G-BadDeb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A-3-and-4-Attrition-Study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8E-6.08G-Incentive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6E-6.16G-InvestPlan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7E-6.17G-EmployeeInsurance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G-DefdGainLoss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1E-6.21G-EnviromtlRemed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3E-6.23G-AnnualizeRent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5E-6.25G-CreditCar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7E-6.27G-PublicImprove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2E-6.12G-RateCaseExp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2G-AMI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4E-6.24G-GTZ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9E-6.29G-HRTops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8.01G-Remove%202018CRM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5-GAS-BILL-IMPACTS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G-FedIncTax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G-PassThrough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6E-6.06G-InjuriesDamages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</row>
      </sheetData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</row>
      </sheetData>
      <sheetData sheetId="1">
        <row r="12">
          <cell r="D12">
            <v>60814.661506623946</v>
          </cell>
          <cell r="E12">
            <v>55965.26325353235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</row>
      </sheetData>
      <sheetData sheetId="1">
        <row r="14">
          <cell r="D14">
            <v>2033423.3546339665</v>
          </cell>
          <cell r="E14">
            <v>3008677.465349237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</row>
      </sheetData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>
        <row r="16">
          <cell r="O16">
            <v>-183830.53319549991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</row>
      </sheetData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 refreshError="1"/>
      <sheetData sheetId="3">
        <row r="668">
          <cell r="H668">
            <v>453621.67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I1" t="str">
            <v>C390.1</v>
          </cell>
        </row>
      </sheetData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</row>
      </sheetData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G23">
            <v>-6115339.9499999993</v>
          </cell>
        </row>
        <row r="24">
          <cell r="E24">
            <v>10523931</v>
          </cell>
        </row>
        <row r="25"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10">
          <cell r="D10">
            <v>248449022.34600002</v>
          </cell>
          <cell r="E10">
            <v>250876388.34600002</v>
          </cell>
          <cell r="G10">
            <v>305132982.34599978</v>
          </cell>
          <cell r="H10">
            <v>54256593.999999762</v>
          </cell>
        </row>
        <row r="12">
          <cell r="D12">
            <v>1.7457330262515006E-2</v>
          </cell>
        </row>
        <row r="14">
          <cell r="F14">
            <v>42375.32993</v>
          </cell>
          <cell r="G14">
            <v>39501680.602483019</v>
          </cell>
        </row>
        <row r="16">
          <cell r="G16">
            <v>16597941.863750041</v>
          </cell>
        </row>
        <row r="19">
          <cell r="G19">
            <v>202406.61140712298</v>
          </cell>
        </row>
        <row r="20">
          <cell r="G20">
            <v>79003.361204966044</v>
          </cell>
        </row>
        <row r="21">
          <cell r="G21">
            <v>1513822.9057289569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/>
      <sheetData sheetId="1">
        <row r="112">
          <cell r="M112">
            <v>108239132.04942055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</row>
      </sheetData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</row>
      </sheetData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</row>
      </sheetData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>
        <row r="14">
          <cell r="D14">
            <v>14253.91000000006</v>
          </cell>
        </row>
      </sheetData>
      <sheetData sheetId="2" refreshError="1"/>
      <sheetData sheetId="3">
        <row r="17">
          <cell r="E17">
            <v>25985.039999999994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 refreshError="1"/>
      <sheetData sheetId="1">
        <row r="15">
          <cell r="D15">
            <v>1423784.9999999995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</row>
      </sheetData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</row>
      </sheetData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</row>
      </sheetData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</sheetNames>
    <sheetDataSet>
      <sheetData sheetId="0">
        <row r="14">
          <cell r="G14">
            <v>13639436.15</v>
          </cell>
        </row>
      </sheetData>
      <sheetData sheetId="1" refreshError="1"/>
      <sheetData sheetId="2" refreshError="1"/>
      <sheetData sheetId="3" refreshError="1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</row>
      </sheetData>
      <sheetData sheetId="1">
        <row r="12">
          <cell r="D12">
            <v>-6029.4623969999993</v>
          </cell>
          <cell r="E12">
            <v>548500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E1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G16">
            <v>10974426.034299001</v>
          </cell>
        </row>
        <row r="17">
          <cell r="D17">
            <v>0</v>
          </cell>
          <cell r="E17">
            <v>0</v>
          </cell>
          <cell r="G17">
            <v>-4519875.9271734888</v>
          </cell>
        </row>
        <row r="18">
          <cell r="D18">
            <v>0</v>
          </cell>
          <cell r="E18">
            <v>0</v>
          </cell>
          <cell r="G18">
            <v>-36545.302130847929</v>
          </cell>
        </row>
        <row r="22">
          <cell r="D22">
            <v>0</v>
          </cell>
          <cell r="E22">
            <v>0</v>
          </cell>
          <cell r="G22">
            <v>10329621.234443244</v>
          </cell>
        </row>
        <row r="23">
          <cell r="D23">
            <v>0</v>
          </cell>
          <cell r="E23">
            <v>0</v>
          </cell>
          <cell r="G23">
            <v>-1721603.539073874</v>
          </cell>
        </row>
        <row r="24">
          <cell r="D24">
            <v>0</v>
          </cell>
          <cell r="E24">
            <v>0</v>
          </cell>
          <cell r="G24">
            <v>-1807683.7160275693</v>
          </cell>
        </row>
        <row r="30">
          <cell r="D30">
            <v>0</v>
          </cell>
          <cell r="E30">
            <v>0</v>
          </cell>
          <cell r="G30">
            <v>2681157.0054726158</v>
          </cell>
        </row>
        <row r="31">
          <cell r="D31">
            <v>0</v>
          </cell>
          <cell r="E31">
            <v>0</v>
          </cell>
          <cell r="G31">
            <v>3443207.0781477471</v>
          </cell>
        </row>
        <row r="32">
          <cell r="G32">
            <v>100694.67691519663</v>
          </cell>
        </row>
      </sheetData>
      <sheetData sheetId="2">
        <row r="16">
          <cell r="G16">
            <v>32459112.790000003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G27">
            <v>348243.00000000006</v>
          </cell>
          <cell r="H27">
            <v>348243.00000000006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  <sheetName val="NEW-PSE-WP-JAP15-GAS-BILL-IMPAC"/>
      <sheetName val="Exh. XXX-XX Page 5"/>
    </sheetNames>
    <sheetDataSet>
      <sheetData sheetId="0">
        <row r="41">
          <cell r="I41">
            <v>-27975683.393576138</v>
          </cell>
          <cell r="L41">
            <v>6187109.090210814</v>
          </cell>
          <cell r="O41">
            <v>-10620091.678408889</v>
          </cell>
          <cell r="V41">
            <v>65472810.00545074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  <cell r="D15">
            <v>53555825.759281471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</row>
        <row r="20">
          <cell r="D20">
            <v>308145.35000000003</v>
          </cell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 refreshError="1"/>
      <sheetData sheetId="2">
        <row r="12">
          <cell r="B12">
            <v>12000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</row>
      </sheetData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85" zoomScaleNormal="85" workbookViewId="0">
      <pane ySplit="10" topLeftCell="A14" activePane="bottomLeft" state="frozen"/>
      <selection activeCell="P3" sqref="P3"/>
      <selection pane="bottomLeft" activeCell="B23" sqref="B23"/>
    </sheetView>
  </sheetViews>
  <sheetFormatPr defaultColWidth="9.140625" defaultRowHeight="15" x14ac:dyDescent="0.25"/>
  <cols>
    <col min="1" max="1" width="6.28515625" style="279" customWidth="1"/>
    <col min="2" max="2" width="92" style="279" customWidth="1"/>
    <col min="3" max="3" width="25.140625" style="279" bestFit="1" customWidth="1"/>
    <col min="4" max="4" width="5" style="279" bestFit="1" customWidth="1"/>
    <col min="5" max="5" width="49.85546875" style="279" bestFit="1" customWidth="1"/>
    <col min="6" max="8" width="12.140625" style="279" customWidth="1"/>
    <col min="9" max="9" width="5" style="279" bestFit="1" customWidth="1"/>
    <col min="10" max="10" width="61.7109375" style="279" bestFit="1" customWidth="1"/>
    <col min="11" max="13" width="12.140625" style="279" customWidth="1"/>
    <col min="14" max="14" width="5.28515625" style="279" bestFit="1" customWidth="1"/>
    <col min="15" max="15" width="61.85546875" style="279" bestFit="1" customWidth="1"/>
    <col min="16" max="16" width="25" style="279" bestFit="1" customWidth="1"/>
    <col min="17" max="16384" width="9.140625" style="279"/>
  </cols>
  <sheetData>
    <row r="1" spans="1:16" x14ac:dyDescent="0.25">
      <c r="C1" s="409" t="s">
        <v>542</v>
      </c>
      <c r="G1" s="356" t="s">
        <v>513</v>
      </c>
      <c r="H1" s="357"/>
      <c r="L1" s="356" t="s">
        <v>539</v>
      </c>
      <c r="M1" s="357"/>
      <c r="N1" s="5"/>
      <c r="O1" s="5"/>
      <c r="P1" s="409" t="s">
        <v>538</v>
      </c>
    </row>
    <row r="2" spans="1:16" x14ac:dyDescent="0.25">
      <c r="A2" s="340" t="str">
        <f>Comp_GAS</f>
        <v>PUGET SOUND ENERGY - NATURAL GAS</v>
      </c>
      <c r="B2" s="340"/>
      <c r="C2" s="340"/>
      <c r="D2" s="340" t="str">
        <f>Comp_GAS</f>
        <v>PUGET SOUND ENERGY - NATURAL GAS</v>
      </c>
      <c r="E2" s="340"/>
      <c r="F2" s="340"/>
      <c r="G2" s="340"/>
      <c r="H2" s="340"/>
      <c r="I2" s="340" t="str">
        <f>Comp_GAS</f>
        <v>PUGET SOUND ENERGY - NATURAL GAS</v>
      </c>
      <c r="J2" s="340"/>
      <c r="K2" s="341"/>
      <c r="L2" s="341"/>
      <c r="M2" s="341"/>
      <c r="N2" s="340" t="str">
        <f>Comp_GAS</f>
        <v>PUGET SOUND ENERGY - NATURAL GAS</v>
      </c>
      <c r="O2" s="133"/>
      <c r="P2" s="133"/>
    </row>
    <row r="3" spans="1:16" x14ac:dyDescent="0.25">
      <c r="A3" s="340" t="s">
        <v>436</v>
      </c>
      <c r="B3" s="340"/>
      <c r="C3" s="340"/>
      <c r="D3" s="340" t="s">
        <v>436</v>
      </c>
      <c r="E3" s="340"/>
      <c r="F3" s="340"/>
      <c r="G3" s="340"/>
      <c r="H3" s="340"/>
      <c r="I3" s="340" t="s">
        <v>436</v>
      </c>
      <c r="J3" s="340"/>
      <c r="K3" s="341"/>
      <c r="L3" s="341"/>
      <c r="M3" s="341"/>
      <c r="N3" s="340" t="s">
        <v>436</v>
      </c>
      <c r="O3" s="133"/>
      <c r="P3" s="133"/>
    </row>
    <row r="4" spans="1:16" x14ac:dyDescent="0.25">
      <c r="A4" s="340" t="str">
        <f>CASE_GAS</f>
        <v>2019 GENERAL RATE CASE</v>
      </c>
      <c r="B4" s="340"/>
      <c r="C4" s="340"/>
      <c r="D4" s="340" t="str">
        <f>CASE_GAS</f>
        <v>2019 GENERAL RATE CASE</v>
      </c>
      <c r="E4" s="340"/>
      <c r="F4" s="340"/>
      <c r="G4" s="340"/>
      <c r="H4" s="340"/>
      <c r="I4" s="340" t="str">
        <f>CASE_GAS</f>
        <v>2019 GENERAL RATE CASE</v>
      </c>
      <c r="J4" s="340"/>
      <c r="K4" s="341"/>
      <c r="L4" s="341"/>
      <c r="M4" s="341"/>
      <c r="N4" s="340" t="str">
        <f>CASE_GAS</f>
        <v>2019 GENERAL RATE CASE</v>
      </c>
      <c r="O4" s="133"/>
      <c r="P4" s="133"/>
    </row>
    <row r="5" spans="1:16" x14ac:dyDescent="0.25">
      <c r="A5" s="340" t="str">
        <f>TESTYEAR_GAS</f>
        <v>12 MONTHS ENDED DECEMBER 31, 2018</v>
      </c>
      <c r="B5" s="340"/>
      <c r="C5" s="340"/>
      <c r="D5" s="340" t="str">
        <f>TESTYEAR_GAS</f>
        <v>12 MONTHS ENDED DECEMBER 31, 2018</v>
      </c>
      <c r="E5" s="340"/>
      <c r="F5" s="340"/>
      <c r="G5" s="340"/>
      <c r="H5" s="340"/>
      <c r="I5" s="340" t="str">
        <f>TESTYEAR_GAS</f>
        <v>12 MONTHS ENDED DECEMBER 31, 2018</v>
      </c>
      <c r="J5" s="340"/>
      <c r="K5" s="341"/>
      <c r="L5" s="341"/>
      <c r="M5" s="341"/>
      <c r="N5" s="340" t="str">
        <f>TESTYEAR_GAS</f>
        <v>12 MONTHS ENDED DECEMBER 31, 2018</v>
      </c>
      <c r="O5" s="133"/>
      <c r="P5" s="133"/>
    </row>
    <row r="6" spans="1:16" s="278" customFormat="1" ht="14.25" x14ac:dyDescent="0.2">
      <c r="A6" s="342" t="s">
        <v>66</v>
      </c>
      <c r="B6" s="340"/>
      <c r="C6" s="340"/>
      <c r="D6" s="342" t="s">
        <v>438</v>
      </c>
      <c r="E6" s="342"/>
      <c r="F6" s="340"/>
      <c r="G6" s="340"/>
      <c r="H6" s="340"/>
      <c r="I6" s="342" t="s">
        <v>65</v>
      </c>
      <c r="J6" s="342"/>
      <c r="K6" s="340"/>
      <c r="L6" s="340"/>
      <c r="M6" s="340"/>
      <c r="N6" s="499" t="s">
        <v>66</v>
      </c>
      <c r="O6" s="133"/>
      <c r="P6" s="133"/>
    </row>
    <row r="7" spans="1:16" x14ac:dyDescent="0.25">
      <c r="B7" s="341"/>
      <c r="C7" s="341"/>
      <c r="E7" s="341"/>
      <c r="F7" s="341"/>
      <c r="G7" s="341"/>
      <c r="H7" s="341"/>
      <c r="I7" s="341"/>
      <c r="J7" s="341"/>
      <c r="K7" s="341"/>
      <c r="L7" s="341"/>
      <c r="M7" s="341"/>
      <c r="N7" s="5"/>
      <c r="O7" s="398"/>
      <c r="P7" s="398"/>
    </row>
    <row r="8" spans="1:16" x14ac:dyDescent="0.25">
      <c r="I8" s="341"/>
      <c r="J8" s="341"/>
      <c r="K8" s="341"/>
      <c r="L8" s="341"/>
      <c r="N8" s="5"/>
      <c r="O8" s="5"/>
      <c r="P8" s="5"/>
    </row>
    <row r="9" spans="1:16" x14ac:dyDescent="0.25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 x14ac:dyDescent="0.25">
      <c r="A10" s="416" t="s">
        <v>37</v>
      </c>
      <c r="B10" s="416" t="s">
        <v>60</v>
      </c>
      <c r="C10" s="417"/>
      <c r="D10" s="416" t="s">
        <v>37</v>
      </c>
      <c r="E10" s="416" t="s">
        <v>60</v>
      </c>
      <c r="F10" s="270" t="s">
        <v>268</v>
      </c>
      <c r="G10" s="270" t="s">
        <v>237</v>
      </c>
      <c r="H10" s="270" t="s">
        <v>237</v>
      </c>
      <c r="I10" s="416" t="s">
        <v>37</v>
      </c>
      <c r="J10" s="416" t="s">
        <v>60</v>
      </c>
      <c r="K10" s="416"/>
      <c r="L10" s="417"/>
      <c r="M10" s="417"/>
      <c r="N10" s="416" t="s">
        <v>37</v>
      </c>
      <c r="O10" s="416" t="s">
        <v>60</v>
      </c>
      <c r="P10" s="416" t="s">
        <v>535</v>
      </c>
    </row>
    <row r="11" spans="1:16" x14ac:dyDescent="0.25">
      <c r="N11" s="5"/>
      <c r="O11" s="5"/>
      <c r="P11" s="5"/>
    </row>
    <row r="12" spans="1:16" x14ac:dyDescent="0.25">
      <c r="A12" s="285">
        <v>1</v>
      </c>
      <c r="B12" s="292" t="s">
        <v>61</v>
      </c>
      <c r="C12" s="328">
        <f>Summary!G46</f>
        <v>2112672665.850872</v>
      </c>
      <c r="D12" s="285">
        <v>1</v>
      </c>
      <c r="E12" s="292" t="s">
        <v>163</v>
      </c>
      <c r="F12" s="343">
        <f>'[1]New Format'!$C$10</f>
        <v>0.51500000000000001</v>
      </c>
      <c r="G12" s="343">
        <f>+'[1]New Format'!$D$10</f>
        <v>5.5728155339805824E-2</v>
      </c>
      <c r="H12" s="339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540</v>
      </c>
      <c r="P12" s="107">
        <f ca="1">'[2]RJA-4_Gas_Attrition'!$M$112</f>
        <v>108239132.04942055</v>
      </c>
    </row>
    <row r="13" spans="1:16" x14ac:dyDescent="0.25">
      <c r="A13" s="285">
        <f t="shared" ref="A13:A36" si="0">A12+1</f>
        <v>2</v>
      </c>
      <c r="B13" s="286" t="s">
        <v>24</v>
      </c>
      <c r="C13" s="343">
        <f>+H14</f>
        <v>7.6200000000000004E-2</v>
      </c>
      <c r="D13" s="285">
        <f t="shared" ref="D13:D18" si="1">D12+1</f>
        <v>2</v>
      </c>
      <c r="E13" s="292" t="s">
        <v>67</v>
      </c>
      <c r="F13" s="343">
        <f>'[1]New Format'!$C$11</f>
        <v>0.48499999999999999</v>
      </c>
      <c r="G13" s="343">
        <f>'[1]New Format'!$D$11</f>
        <v>9.8000000000000004E-2</v>
      </c>
      <c r="H13" s="339">
        <f t="shared" ref="H13" si="2">ROUND(F13*G13,4)</f>
        <v>4.7500000000000001E-2</v>
      </c>
      <c r="I13" s="285">
        <f t="shared" ref="I13:I20" si="3">I12+1</f>
        <v>2</v>
      </c>
      <c r="J13" s="286" t="s">
        <v>70</v>
      </c>
      <c r="K13" s="292"/>
      <c r="L13" s="292"/>
      <c r="M13" s="195">
        <f>+'[3]4.01 G'!$E$14</f>
        <v>2E-3</v>
      </c>
      <c r="N13" s="114">
        <f>N12+1</f>
        <v>2</v>
      </c>
      <c r="O13" s="154" t="s">
        <v>536</v>
      </c>
      <c r="P13" s="148">
        <f>C26</f>
        <v>-32408665.981774215</v>
      </c>
    </row>
    <row r="14" spans="1:16" x14ac:dyDescent="0.25">
      <c r="A14" s="285">
        <f t="shared" si="0"/>
        <v>3</v>
      </c>
      <c r="B14" s="286"/>
      <c r="C14" s="345"/>
      <c r="D14" s="285">
        <f t="shared" si="1"/>
        <v>3</v>
      </c>
      <c r="E14" s="292" t="s">
        <v>54</v>
      </c>
      <c r="F14" s="346">
        <f>SUM(F12:F13)</f>
        <v>1</v>
      </c>
      <c r="G14" s="347"/>
      <c r="H14" s="346">
        <f>SUM(H12:H13)</f>
        <v>7.6200000000000004E-2</v>
      </c>
      <c r="I14" s="285">
        <f t="shared" si="3"/>
        <v>3</v>
      </c>
      <c r="J14" s="286" t="str">
        <f>"STATE UTILITY TAX ( "&amp;M14*100&amp;"% - ( LINE 1 * "&amp;M14*100&amp;"% )  )"</f>
        <v>STATE UTILITY TAX ( 3.8323% - ( LINE 1 * 3.8323% )  )</v>
      </c>
      <c r="L14" s="348">
        <f>+'[3]4.01 G'!$D$15</f>
        <v>3.8519999999999999E-2</v>
      </c>
      <c r="M14" s="349">
        <f>ROUND(L14-(L14*M12),6)</f>
        <v>3.8323000000000003E-2</v>
      </c>
      <c r="N14" s="114">
        <f t="shared" ref="N14:N15" si="4">N13+1</f>
        <v>3</v>
      </c>
      <c r="O14" s="5"/>
      <c r="P14" s="272"/>
    </row>
    <row r="15" spans="1:16" ht="15.75" thickBot="1" x14ac:dyDescent="0.3">
      <c r="A15" s="285">
        <f t="shared" si="0"/>
        <v>4</v>
      </c>
      <c r="B15" s="292" t="s">
        <v>62</v>
      </c>
      <c r="C15" s="330">
        <f>+C13*C12</f>
        <v>160985657.13783646</v>
      </c>
      <c r="D15" s="285">
        <f t="shared" si="1"/>
        <v>4</v>
      </c>
      <c r="E15" s="292"/>
      <c r="I15" s="285">
        <f t="shared" si="3"/>
        <v>4</v>
      </c>
      <c r="J15" s="286"/>
      <c r="K15" s="292"/>
      <c r="L15" s="292"/>
      <c r="M15" s="84"/>
      <c r="N15" s="114">
        <f t="shared" si="4"/>
        <v>4</v>
      </c>
      <c r="O15" s="5" t="s">
        <v>537</v>
      </c>
      <c r="P15" s="273">
        <f ca="1">SUM(P12:P14)</f>
        <v>75830466.06764634</v>
      </c>
    </row>
    <row r="16" spans="1:16" ht="15.75" thickTop="1" x14ac:dyDescent="0.25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9">
        <f>+F12</f>
        <v>0.51500000000000001</v>
      </c>
      <c r="G16" s="339">
        <f>G12*0.79</f>
        <v>4.40252427184466E-2</v>
      </c>
      <c r="H16" s="339">
        <f>ROUND(H12*0.79,4)</f>
        <v>2.2700000000000001E-2</v>
      </c>
      <c r="I16" s="285">
        <f t="shared" si="3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4"/>
    </row>
    <row r="17" spans="1:14" x14ac:dyDescent="0.25">
      <c r="A17" s="285">
        <f t="shared" si="0"/>
        <v>6</v>
      </c>
      <c r="B17" s="286" t="s">
        <v>63</v>
      </c>
      <c r="C17" s="330">
        <f>Summary!G44</f>
        <v>96036535.300425529</v>
      </c>
      <c r="D17" s="285">
        <f t="shared" si="1"/>
        <v>6</v>
      </c>
      <c r="E17" s="292" t="s">
        <v>67</v>
      </c>
      <c r="F17" s="339">
        <f>+F13</f>
        <v>0.48499999999999999</v>
      </c>
      <c r="G17" s="339">
        <f>+G13</f>
        <v>9.8000000000000004E-2</v>
      </c>
      <c r="H17" s="339">
        <f>ROUND(F17*G17,4)</f>
        <v>4.7500000000000001E-2</v>
      </c>
      <c r="I17" s="285">
        <f t="shared" si="3"/>
        <v>6</v>
      </c>
      <c r="J17" s="292"/>
      <c r="K17" s="292"/>
      <c r="L17" s="292"/>
      <c r="M17" s="195"/>
      <c r="N17" s="344"/>
    </row>
    <row r="18" spans="1:14" x14ac:dyDescent="0.25">
      <c r="A18" s="285">
        <f t="shared" si="0"/>
        <v>7</v>
      </c>
      <c r="B18" s="286" t="s">
        <v>64</v>
      </c>
      <c r="C18" s="350">
        <f>+C15-C17</f>
        <v>64949121.837410927</v>
      </c>
      <c r="D18" s="285">
        <f t="shared" si="1"/>
        <v>7</v>
      </c>
      <c r="E18" s="292" t="s">
        <v>68</v>
      </c>
      <c r="F18" s="346">
        <f>SUM(F16:F17)</f>
        <v>1</v>
      </c>
      <c r="G18" s="347"/>
      <c r="H18" s="346">
        <f>SUM(H16:H17)</f>
        <v>7.0199999999999999E-2</v>
      </c>
      <c r="I18" s="285">
        <f t="shared" si="3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4"/>
    </row>
    <row r="19" spans="1:14" x14ac:dyDescent="0.25">
      <c r="A19" s="285">
        <f t="shared" si="0"/>
        <v>8</v>
      </c>
      <c r="B19" s="292"/>
      <c r="D19" s="285"/>
      <c r="I19" s="285">
        <f t="shared" si="3"/>
        <v>8</v>
      </c>
      <c r="J19" s="286" t="str">
        <f>"FEDERAL INCOME TAX ( LINE "&amp;I18&amp;"  * "&amp;FIT_GAS*100&amp;"% )"</f>
        <v>FEDERAL INCOME TAX ( LINE 7  * 21% )</v>
      </c>
      <c r="K19" s="292"/>
      <c r="L19" s="351">
        <f>+FIT_GAS</f>
        <v>0.21</v>
      </c>
      <c r="M19" s="195">
        <f>ROUND((M18)*FIT_GAS,6)</f>
        <v>0.200456</v>
      </c>
      <c r="N19" s="344"/>
    </row>
    <row r="20" spans="1:14" ht="15.75" thickBot="1" x14ac:dyDescent="0.3">
      <c r="A20" s="285">
        <f t="shared" si="0"/>
        <v>9</v>
      </c>
      <c r="B20" s="292" t="s">
        <v>65</v>
      </c>
      <c r="C20" s="411">
        <f>+M20</f>
        <v>0.75409700000000002</v>
      </c>
      <c r="D20" s="285"/>
      <c r="I20" s="285">
        <f t="shared" si="3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2">
        <f>ROUND(1-M19-M16,6)</f>
        <v>0.75409700000000002</v>
      </c>
      <c r="N20" s="344"/>
    </row>
    <row r="21" spans="1:14" ht="15.75" thickTop="1" x14ac:dyDescent="0.25">
      <c r="A21" s="285">
        <f t="shared" si="0"/>
        <v>10</v>
      </c>
      <c r="B21" s="279" t="s">
        <v>534</v>
      </c>
      <c r="C21" s="75">
        <f>ROUND(+C18/C20,0)</f>
        <v>86128339</v>
      </c>
      <c r="D21" s="285"/>
      <c r="I21" s="285"/>
      <c r="K21" s="344"/>
      <c r="L21" s="344"/>
      <c r="M21" s="344"/>
      <c r="N21" s="344"/>
    </row>
    <row r="22" spans="1:14" x14ac:dyDescent="0.25">
      <c r="A22" s="114">
        <f t="shared" si="0"/>
        <v>11</v>
      </c>
      <c r="B22" s="279" t="s">
        <v>512</v>
      </c>
      <c r="C22" s="345"/>
      <c r="D22" s="285"/>
      <c r="I22" s="285"/>
      <c r="K22" s="344"/>
      <c r="L22" s="353"/>
      <c r="M22" s="354"/>
    </row>
    <row r="23" spans="1:14" x14ac:dyDescent="0.25">
      <c r="A23" s="114">
        <f t="shared" si="0"/>
        <v>12</v>
      </c>
      <c r="B23" s="388" t="s">
        <v>503</v>
      </c>
      <c r="C23" s="294">
        <f>+'[4]Combined Impacts'!$O$41</f>
        <v>-10620091.678408889</v>
      </c>
      <c r="D23" s="285"/>
    </row>
    <row r="24" spans="1:14" x14ac:dyDescent="0.25">
      <c r="A24" s="114">
        <f t="shared" si="0"/>
        <v>13</v>
      </c>
      <c r="B24" s="388" t="s">
        <v>499</v>
      </c>
      <c r="C24" s="294">
        <f>+'[4]Combined Impacts'!$I$41</f>
        <v>-27975683.393576138</v>
      </c>
      <c r="D24" s="285"/>
    </row>
    <row r="25" spans="1:14" x14ac:dyDescent="0.25">
      <c r="A25" s="114">
        <f t="shared" si="0"/>
        <v>14</v>
      </c>
      <c r="B25" s="388" t="s">
        <v>500</v>
      </c>
      <c r="C25" s="294">
        <f>+'[4]Combined Impacts'!$L$41</f>
        <v>6187109.090210814</v>
      </c>
      <c r="E25"/>
      <c r="F25"/>
      <c r="G25"/>
      <c r="H25"/>
    </row>
    <row r="26" spans="1:14" x14ac:dyDescent="0.25">
      <c r="A26" s="114">
        <f t="shared" si="0"/>
        <v>15</v>
      </c>
      <c r="B26" s="279" t="s">
        <v>501</v>
      </c>
      <c r="C26" s="350">
        <f>SUM(C23:C25)</f>
        <v>-32408665.981774215</v>
      </c>
      <c r="E26"/>
      <c r="F26"/>
      <c r="G26"/>
      <c r="H26"/>
    </row>
    <row r="27" spans="1:14" x14ac:dyDescent="0.25">
      <c r="A27" s="114">
        <f t="shared" si="0"/>
        <v>16</v>
      </c>
      <c r="C27" s="345"/>
      <c r="E27"/>
      <c r="F27"/>
      <c r="G27"/>
      <c r="H27"/>
    </row>
    <row r="28" spans="1:14" x14ac:dyDescent="0.25">
      <c r="A28" s="114">
        <f t="shared" si="0"/>
        <v>17</v>
      </c>
      <c r="B28" s="279" t="s">
        <v>502</v>
      </c>
      <c r="C28" s="337">
        <f>C21+C26</f>
        <v>53719673.018225789</v>
      </c>
      <c r="E28"/>
      <c r="F28"/>
      <c r="G28"/>
      <c r="H28"/>
    </row>
    <row r="29" spans="1:14" x14ac:dyDescent="0.25">
      <c r="A29" s="114">
        <f t="shared" si="0"/>
        <v>18</v>
      </c>
      <c r="C29" s="337"/>
      <c r="E29"/>
      <c r="F29"/>
      <c r="G29"/>
      <c r="H29"/>
    </row>
    <row r="30" spans="1:14" x14ac:dyDescent="0.25">
      <c r="A30" s="114">
        <f t="shared" si="0"/>
        <v>19</v>
      </c>
      <c r="B30" s="279" t="s">
        <v>530</v>
      </c>
      <c r="C30" s="337">
        <f ca="1">C32-C28</f>
        <v>22110793.04942055</v>
      </c>
      <c r="E30"/>
      <c r="F30"/>
      <c r="G30"/>
      <c r="H30"/>
    </row>
    <row r="31" spans="1:14" x14ac:dyDescent="0.25">
      <c r="A31" s="114">
        <f t="shared" si="0"/>
        <v>20</v>
      </c>
      <c r="C31" s="412"/>
      <c r="E31"/>
      <c r="F31"/>
      <c r="G31"/>
      <c r="H31"/>
    </row>
    <row r="32" spans="1:14" x14ac:dyDescent="0.25">
      <c r="A32" s="114">
        <f t="shared" si="0"/>
        <v>21</v>
      </c>
      <c r="B32" s="279" t="s">
        <v>541</v>
      </c>
      <c r="C32" s="337">
        <f ca="1">'COC, Def, ConvF'!P15</f>
        <v>75830466.06764634</v>
      </c>
      <c r="E32"/>
      <c r="F32"/>
      <c r="G32"/>
      <c r="H32"/>
    </row>
    <row r="33" spans="1:5" x14ac:dyDescent="0.25">
      <c r="A33" s="114">
        <f t="shared" si="0"/>
        <v>22</v>
      </c>
      <c r="C33" s="337"/>
    </row>
    <row r="34" spans="1:5" x14ac:dyDescent="0.25">
      <c r="A34" s="114">
        <f t="shared" si="0"/>
        <v>23</v>
      </c>
      <c r="B34" s="279" t="s">
        <v>529</v>
      </c>
      <c r="C34" s="331">
        <f ca="1">C36-C32</f>
        <v>-10357656.062195599</v>
      </c>
      <c r="D34" s="280"/>
      <c r="E34" s="280"/>
    </row>
    <row r="35" spans="1:5" x14ac:dyDescent="0.25">
      <c r="A35" s="114">
        <f t="shared" si="0"/>
        <v>24</v>
      </c>
      <c r="C35" s="413"/>
      <c r="D35" s="280"/>
      <c r="E35" s="280"/>
    </row>
    <row r="36" spans="1:5" ht="15.75" thickBot="1" x14ac:dyDescent="0.3">
      <c r="A36" s="114">
        <f t="shared" si="0"/>
        <v>25</v>
      </c>
      <c r="B36" s="279" t="s">
        <v>531</v>
      </c>
      <c r="C36" s="498">
        <f>+'[4]Combined Impacts'!$V$41</f>
        <v>65472810.00545074</v>
      </c>
      <c r="D36" s="280"/>
      <c r="E36" s="280"/>
    </row>
    <row r="37" spans="1:5" ht="15.75" thickTop="1" x14ac:dyDescent="0.25">
      <c r="C37" s="410"/>
    </row>
  </sheetData>
  <pageMargins left="0.45" right="0.45" top="0.75" bottom="0.75" header="0.3" footer="0.3"/>
  <pageSetup scale="24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5" zoomScaleNormal="115" workbookViewId="0">
      <selection activeCell="C23" sqref="C23"/>
    </sheetView>
  </sheetViews>
  <sheetFormatPr defaultColWidth="9.140625" defaultRowHeight="15" x14ac:dyDescent="0.25"/>
  <cols>
    <col min="1" max="1" width="9.140625" style="279"/>
    <col min="2" max="2" width="41.7109375" style="279" bestFit="1" customWidth="1"/>
    <col min="3" max="5" width="12.140625" style="279" customWidth="1"/>
    <col min="6" max="16384" width="9.140625" style="279"/>
  </cols>
  <sheetData>
    <row r="1" spans="1:5" x14ac:dyDescent="0.25">
      <c r="D1" s="356" t="s">
        <v>514</v>
      </c>
      <c r="E1" s="357"/>
    </row>
    <row r="2" spans="1:5" x14ac:dyDescent="0.25">
      <c r="A2" s="340" t="str">
        <f>Comp_GAS</f>
        <v>PUGET SOUND ENERGY - NATURAL GAS</v>
      </c>
      <c r="B2" s="340"/>
      <c r="C2" s="340"/>
      <c r="D2" s="340"/>
      <c r="E2" s="340"/>
    </row>
    <row r="3" spans="1:5" x14ac:dyDescent="0.25">
      <c r="A3" s="340" t="s">
        <v>436</v>
      </c>
      <c r="B3" s="340"/>
      <c r="C3" s="340"/>
      <c r="D3" s="340"/>
      <c r="E3" s="340"/>
    </row>
    <row r="4" spans="1:5" x14ac:dyDescent="0.25">
      <c r="A4" s="340" t="str">
        <f>CASE_GAS</f>
        <v>2019 GENERAL RATE CASE</v>
      </c>
      <c r="B4" s="340"/>
      <c r="C4" s="340"/>
      <c r="D4" s="340"/>
      <c r="E4" s="340"/>
    </row>
    <row r="5" spans="1:5" x14ac:dyDescent="0.25">
      <c r="A5" s="340" t="str">
        <f>TESTYEAR_GAS</f>
        <v>12 MONTHS ENDED DECEMBER 31, 2018</v>
      </c>
      <c r="B5" s="340"/>
      <c r="C5" s="340"/>
      <c r="D5" s="340"/>
      <c r="E5" s="340"/>
    </row>
    <row r="6" spans="1:5" x14ac:dyDescent="0.25">
      <c r="A6" s="342" t="s">
        <v>437</v>
      </c>
      <c r="B6" s="342"/>
      <c r="C6" s="340"/>
      <c r="D6" s="340"/>
      <c r="E6" s="340"/>
    </row>
    <row r="8" spans="1:5" x14ac:dyDescent="0.25">
      <c r="A8" s="4" t="s">
        <v>36</v>
      </c>
      <c r="B8" s="4"/>
      <c r="C8" s="277" t="s">
        <v>266</v>
      </c>
      <c r="D8" s="5"/>
      <c r="E8" s="277" t="s">
        <v>267</v>
      </c>
    </row>
    <row r="9" spans="1:5" x14ac:dyDescent="0.2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 x14ac:dyDescent="0.25">
      <c r="A11" s="285">
        <v>1</v>
      </c>
      <c r="B11" s="292" t="s">
        <v>163</v>
      </c>
      <c r="C11" s="343">
        <v>0.51</v>
      </c>
      <c r="D11" s="343">
        <v>5.7647058823529412E-2</v>
      </c>
      <c r="E11" s="339">
        <f>ROUND(C11*D11,4)</f>
        <v>2.9399999999999999E-2</v>
      </c>
    </row>
    <row r="12" spans="1:5" x14ac:dyDescent="0.25">
      <c r="A12" s="285">
        <f t="shared" ref="A12:A17" si="0">A11+1</f>
        <v>2</v>
      </c>
      <c r="B12" s="292" t="s">
        <v>67</v>
      </c>
      <c r="C12" s="343">
        <v>0.49</v>
      </c>
      <c r="D12" s="343">
        <v>9.5000000000000001E-2</v>
      </c>
      <c r="E12" s="339">
        <f t="shared" ref="E12" si="1">ROUND(C12*D12,4)</f>
        <v>4.6600000000000003E-2</v>
      </c>
    </row>
    <row r="13" spans="1:5" x14ac:dyDescent="0.25">
      <c r="A13" s="285">
        <f t="shared" si="0"/>
        <v>3</v>
      </c>
      <c r="B13" s="292" t="s">
        <v>54</v>
      </c>
      <c r="C13" s="355">
        <f>SUM(C11:C12)</f>
        <v>1</v>
      </c>
      <c r="D13" s="347"/>
      <c r="E13" s="346">
        <f>SUM(E11:E12)</f>
        <v>7.5999999999999998E-2</v>
      </c>
    </row>
    <row r="14" spans="1:5" x14ac:dyDescent="0.25">
      <c r="A14" s="285">
        <f t="shared" si="0"/>
        <v>4</v>
      </c>
      <c r="B14" s="292"/>
    </row>
    <row r="15" spans="1:5" x14ac:dyDescent="0.25">
      <c r="A15" s="285">
        <f t="shared" si="0"/>
        <v>5</v>
      </c>
      <c r="B15" s="292" t="s">
        <v>270</v>
      </c>
      <c r="C15" s="339">
        <f>+C11</f>
        <v>0.51</v>
      </c>
      <c r="D15" s="339">
        <f>D11*0.79</f>
        <v>4.5541176470588238E-2</v>
      </c>
      <c r="E15" s="339">
        <f>ROUND(E11*0.79,4)</f>
        <v>2.3199999999999998E-2</v>
      </c>
    </row>
    <row r="16" spans="1:5" x14ac:dyDescent="0.25">
      <c r="A16" s="285">
        <f t="shared" si="0"/>
        <v>6</v>
      </c>
      <c r="B16" s="292" t="s">
        <v>67</v>
      </c>
      <c r="C16" s="339">
        <f>+C12</f>
        <v>0.49</v>
      </c>
      <c r="D16" s="339">
        <f>+D12</f>
        <v>9.5000000000000001E-2</v>
      </c>
      <c r="E16" s="339">
        <f>ROUND(C16*D16,4)</f>
        <v>4.6600000000000003E-2</v>
      </c>
    </row>
    <row r="17" spans="1:5" x14ac:dyDescent="0.25">
      <c r="A17" s="285">
        <f t="shared" si="0"/>
        <v>7</v>
      </c>
      <c r="B17" s="292" t="s">
        <v>68</v>
      </c>
      <c r="C17" s="355">
        <f>SUM(C15:C16)</f>
        <v>1</v>
      </c>
      <c r="D17" s="347"/>
      <c r="E17" s="346">
        <f>SUM(E15:E16)</f>
        <v>6.9800000000000001E-2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pane xSplit="2" ySplit="11" topLeftCell="C49" activePane="bottomRight" state="frozen"/>
      <selection activeCell="C23" sqref="C23"/>
      <selection pane="topRight" activeCell="C23" sqref="C23"/>
      <selection pane="bottomLeft" activeCell="C23" sqref="C23"/>
      <selection pane="bottomRight" activeCell="D66" sqref="D66"/>
    </sheetView>
  </sheetViews>
  <sheetFormatPr defaultColWidth="9.140625" defaultRowHeight="15" x14ac:dyDescent="0.25"/>
  <cols>
    <col min="1" max="1" width="4.5703125" style="279" bestFit="1" customWidth="1"/>
    <col min="2" max="2" width="38.7109375" style="279" customWidth="1"/>
    <col min="3" max="3" width="17.28515625" style="280" bestFit="1" customWidth="1"/>
    <col min="4" max="4" width="15.28515625" style="280" customWidth="1"/>
    <col min="5" max="5" width="17" style="280" customWidth="1"/>
    <col min="6" max="6" width="15.28515625" style="280" customWidth="1"/>
    <col min="7" max="7" width="17" style="279" customWidth="1"/>
    <col min="8" max="8" width="15.28515625" style="280" customWidth="1"/>
    <col min="9" max="9" width="17.140625" style="279" customWidth="1"/>
    <col min="10" max="10" width="12.5703125" style="279" bestFit="1" customWidth="1"/>
    <col min="11" max="16384" width="9.140625" style="279"/>
  </cols>
  <sheetData>
    <row r="1" spans="1:9" x14ac:dyDescent="0.25">
      <c r="A1" s="278" t="s">
        <v>38</v>
      </c>
      <c r="C1" s="278"/>
      <c r="H1" s="356" t="s">
        <v>515</v>
      </c>
      <c r="I1" s="357"/>
    </row>
    <row r="2" spans="1:9" x14ac:dyDescent="0.25">
      <c r="A2" s="278" t="s">
        <v>431</v>
      </c>
      <c r="C2" s="278"/>
    </row>
    <row r="3" spans="1:9" x14ac:dyDescent="0.25">
      <c r="A3" s="278" t="s">
        <v>196</v>
      </c>
      <c r="C3" s="278"/>
    </row>
    <row r="4" spans="1:9" x14ac:dyDescent="0.25">
      <c r="A4" s="278" t="str">
        <f>CASE_GAS</f>
        <v>2019 GENERAL RATE CASE</v>
      </c>
      <c r="C4" s="278"/>
    </row>
    <row r="5" spans="1:9" x14ac:dyDescent="0.25">
      <c r="A5" s="278" t="str">
        <f>TESTYEAR_GAS</f>
        <v>12 MONTHS ENDED DECEMBER 31, 2018</v>
      </c>
      <c r="C5" s="278"/>
    </row>
    <row r="6" spans="1:9" x14ac:dyDescent="0.25">
      <c r="C6" s="281"/>
      <c r="D6" s="281"/>
      <c r="E6" s="281"/>
      <c r="F6" s="281"/>
    </row>
    <row r="9" spans="1:9" x14ac:dyDescent="0.25">
      <c r="C9" s="282" t="s">
        <v>33</v>
      </c>
      <c r="D9" s="282"/>
      <c r="E9" s="282" t="s">
        <v>82</v>
      </c>
      <c r="F9" s="282"/>
      <c r="G9" s="282" t="s">
        <v>55</v>
      </c>
      <c r="H9" s="4" t="s">
        <v>504</v>
      </c>
      <c r="I9" s="282" t="s">
        <v>56</v>
      </c>
    </row>
    <row r="10" spans="1:9" ht="13.5" customHeight="1" x14ac:dyDescent="0.25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505</v>
      </c>
      <c r="I10" s="282" t="s">
        <v>58</v>
      </c>
    </row>
    <row r="11" spans="1:9" x14ac:dyDescent="0.25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506</v>
      </c>
      <c r="I11" s="283" t="str">
        <f>IF(H17&lt;0,"DECREASE","INCREASE")</f>
        <v>INCREASE</v>
      </c>
    </row>
    <row r="12" spans="1:9" x14ac:dyDescent="0.25">
      <c r="C12" s="284" t="s">
        <v>197</v>
      </c>
      <c r="D12" s="284" t="s">
        <v>198</v>
      </c>
      <c r="E12" s="284" t="s">
        <v>433</v>
      </c>
      <c r="F12" s="284" t="s">
        <v>199</v>
      </c>
      <c r="G12" s="277" t="s">
        <v>434</v>
      </c>
      <c r="H12" s="284" t="s">
        <v>201</v>
      </c>
      <c r="I12" s="277" t="s">
        <v>435</v>
      </c>
    </row>
    <row r="13" spans="1:9" x14ac:dyDescent="0.25">
      <c r="A13" s="285">
        <v>1</v>
      </c>
      <c r="B13" s="286" t="s">
        <v>0</v>
      </c>
      <c r="G13" s="280"/>
    </row>
    <row r="14" spans="1:9" x14ac:dyDescent="0.25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Summary'!X14</f>
        <v>-152892006.21581638</v>
      </c>
      <c r="E14" s="287">
        <f>SUM(C14:D14)</f>
        <v>723765669.45418346</v>
      </c>
      <c r="F14" s="287">
        <f>+'Detailed Summary'!AU14</f>
        <v>28192498.745988045</v>
      </c>
      <c r="G14" s="287">
        <f>SUM(E14:F14)</f>
        <v>751958168.20017147</v>
      </c>
      <c r="H14" s="287">
        <f>'COC, Def, ConvF'!C21</f>
        <v>86128339</v>
      </c>
      <c r="I14" s="287">
        <f>SUM(G14:H14)</f>
        <v>838086507.20017147</v>
      </c>
    </row>
    <row r="15" spans="1:9" x14ac:dyDescent="0.25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Summary'!X15</f>
        <v>0</v>
      </c>
      <c r="E15" s="288">
        <f>SUM(C15:D15)</f>
        <v>0</v>
      </c>
      <c r="F15" s="288">
        <f>+'Detailed Summary'!AU15</f>
        <v>0</v>
      </c>
      <c r="G15" s="288">
        <f>SUM(E15:F15)</f>
        <v>0</v>
      </c>
      <c r="H15" s="288"/>
      <c r="I15" s="288">
        <f>SUM(G15:H15)</f>
        <v>0</v>
      </c>
    </row>
    <row r="16" spans="1:9" x14ac:dyDescent="0.25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Summary'!X16</f>
        <v>46115261.559999995</v>
      </c>
      <c r="E16" s="288">
        <f>SUM(C16:D16)</f>
        <v>20205262.979999997</v>
      </c>
      <c r="F16" s="288">
        <f>+'Detailed Summary'!AU16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 x14ac:dyDescent="0.25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-106776744.65581638</v>
      </c>
      <c r="E17" s="289">
        <f t="shared" si="1"/>
        <v>743970932.43418348</v>
      </c>
      <c r="F17" s="289">
        <f t="shared" si="1"/>
        <v>18337529.735988043</v>
      </c>
      <c r="G17" s="289">
        <f t="shared" si="1"/>
        <v>762308462.1701715</v>
      </c>
      <c r="H17" s="289">
        <f t="shared" si="1"/>
        <v>86128339</v>
      </c>
      <c r="I17" s="289">
        <f t="shared" si="1"/>
        <v>848436801.1701715</v>
      </c>
    </row>
    <row r="18" spans="1:10" s="291" customFormat="1" x14ac:dyDescent="0.25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 x14ac:dyDescent="0.25">
      <c r="A19" s="285">
        <f t="shared" si="0"/>
        <v>7</v>
      </c>
      <c r="B19" s="286" t="s">
        <v>4</v>
      </c>
      <c r="F19" s="288"/>
      <c r="G19" s="288"/>
      <c r="I19" s="280"/>
    </row>
    <row r="20" spans="1:10" x14ac:dyDescent="0.25">
      <c r="A20" s="285">
        <f t="shared" si="0"/>
        <v>8</v>
      </c>
      <c r="B20" s="292"/>
      <c r="G20" s="280"/>
      <c r="I20" s="280"/>
    </row>
    <row r="21" spans="1:10" x14ac:dyDescent="0.25">
      <c r="A21" s="285">
        <f t="shared" si="0"/>
        <v>9</v>
      </c>
      <c r="B21" s="286" t="s">
        <v>247</v>
      </c>
      <c r="G21" s="280"/>
      <c r="I21" s="280"/>
    </row>
    <row r="22" spans="1:10" x14ac:dyDescent="0.25">
      <c r="A22" s="285">
        <f t="shared" si="0"/>
        <v>10</v>
      </c>
      <c r="B22" s="286"/>
      <c r="C22" s="293">
        <f>+'Detailed Summary'!C22</f>
        <v>0</v>
      </c>
      <c r="D22" s="293">
        <f>+'Detailed Summary'!X22</f>
        <v>0</v>
      </c>
      <c r="E22" s="293">
        <f>SUM(C22:D22)</f>
        <v>0</v>
      </c>
      <c r="F22" s="293">
        <f>+'Detailed Summary'!AU22</f>
        <v>0</v>
      </c>
      <c r="G22" s="293">
        <f>SUM(E22:F22)</f>
        <v>0</v>
      </c>
      <c r="H22" s="294"/>
      <c r="I22" s="293">
        <f>SUM(G22:H22)</f>
        <v>0</v>
      </c>
    </row>
    <row r="23" spans="1:10" x14ac:dyDescent="0.25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Summary'!X23</f>
        <v>-20106832.814327635</v>
      </c>
      <c r="E23" s="288">
        <f>SUM(C23:D23)</f>
        <v>276592219.24567121</v>
      </c>
      <c r="F23" s="288">
        <f>+'Detailed Summary'!AU23</f>
        <v>16597941.863750041</v>
      </c>
      <c r="G23" s="288">
        <f>SUM(E23:F23)</f>
        <v>293190161.10942125</v>
      </c>
      <c r="H23" s="295"/>
      <c r="I23" s="288">
        <f>SUM(G23:H23)</f>
        <v>293190161.10942125</v>
      </c>
    </row>
    <row r="24" spans="1:10" x14ac:dyDescent="0.25">
      <c r="A24" s="285">
        <f t="shared" si="0"/>
        <v>12</v>
      </c>
      <c r="B24" s="292"/>
      <c r="C24" s="288">
        <f>+'Detailed Summary'!C24</f>
        <v>0</v>
      </c>
      <c r="D24" s="288">
        <f>+'Detailed Summary'!X24</f>
        <v>0</v>
      </c>
      <c r="E24" s="288">
        <f>SUM(C24:D24)</f>
        <v>0</v>
      </c>
      <c r="F24" s="288">
        <f>+'Detailed Summary'!AU24</f>
        <v>0</v>
      </c>
      <c r="G24" s="288">
        <f>SUM(E24:F24)</f>
        <v>0</v>
      </c>
      <c r="H24" s="295"/>
      <c r="I24" s="288">
        <f>SUM(G24:H24)</f>
        <v>0</v>
      </c>
    </row>
    <row r="25" spans="1:10" x14ac:dyDescent="0.25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16597941.863750041</v>
      </c>
      <c r="G25" s="296">
        <f t="shared" si="2"/>
        <v>293190161.10942125</v>
      </c>
      <c r="H25" s="289">
        <f t="shared" si="2"/>
        <v>0</v>
      </c>
      <c r="I25" s="296">
        <f t="shared" si="2"/>
        <v>293190161.10942125</v>
      </c>
      <c r="J25" s="297"/>
    </row>
    <row r="26" spans="1:10" x14ac:dyDescent="0.25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 x14ac:dyDescent="0.25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Summary'!X27</f>
        <v>18583.731398664269</v>
      </c>
      <c r="E27" s="293">
        <f t="shared" ref="E27:E41" si="3">SUM(C27:D27)</f>
        <v>6061388.8613986634</v>
      </c>
      <c r="F27" s="293">
        <f>+'Detailed Summary'!AU27</f>
        <v>110776.01203954894</v>
      </c>
      <c r="G27" s="293">
        <f t="shared" ref="G27:G41" si="4">SUM(E27:F27)</f>
        <v>6172164.8734382121</v>
      </c>
      <c r="H27" s="294"/>
      <c r="I27" s="293">
        <f t="shared" ref="I27:I41" si="5">SUM(G27:H27)</f>
        <v>6172164.8734382121</v>
      </c>
    </row>
    <row r="28" spans="1:10" x14ac:dyDescent="0.25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Summary'!X28</f>
        <v>0</v>
      </c>
      <c r="E28" s="288">
        <f t="shared" si="3"/>
        <v>2110.77</v>
      </c>
      <c r="F28" s="288">
        <f>+'Detailed Summary'!AU28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 x14ac:dyDescent="0.25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Summary'!X29</f>
        <v>523457.26844154485</v>
      </c>
      <c r="E29" s="288">
        <f t="shared" si="3"/>
        <v>60697625.368441522</v>
      </c>
      <c r="F29" s="288">
        <f>+'Detailed Summary'!AU29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 x14ac:dyDescent="0.25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Summary'!X30</f>
        <v>-141418.02794167335</v>
      </c>
      <c r="E30" s="288">
        <f t="shared" si="3"/>
        <v>29666033.592058323</v>
      </c>
      <c r="F30" s="288">
        <f>+'Detailed Summary'!AU30</f>
        <v>38029.742556495417</v>
      </c>
      <c r="G30" s="288">
        <f t="shared" si="4"/>
        <v>29704063.334614817</v>
      </c>
      <c r="H30" s="295">
        <f>'COC, Def, ConvF'!C21*'COC, Def, ConvF'!M12</f>
        <v>441321.60903599998</v>
      </c>
      <c r="I30" s="288">
        <f t="shared" si="5"/>
        <v>30145384.943650816</v>
      </c>
    </row>
    <row r="31" spans="1:10" x14ac:dyDescent="0.25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Summary'!X31</f>
        <v>-4811195.0053552855</v>
      </c>
      <c r="E31" s="288">
        <f t="shared" si="3"/>
        <v>1763236.0746447137</v>
      </c>
      <c r="F31" s="288">
        <f>+'Detailed Summary'!AU31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 x14ac:dyDescent="0.25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Summary'!X32</f>
        <v>-14625833.34</v>
      </c>
      <c r="E32" s="288">
        <f t="shared" si="3"/>
        <v>0</v>
      </c>
      <c r="F32" s="288">
        <f>+'Detailed Summary'!AU32</f>
        <v>0</v>
      </c>
      <c r="G32" s="288">
        <f t="shared" si="4"/>
        <v>0</v>
      </c>
      <c r="H32" s="295"/>
      <c r="I32" s="288">
        <f t="shared" si="5"/>
        <v>0</v>
      </c>
    </row>
    <row r="33" spans="1:9" x14ac:dyDescent="0.25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Summary'!X33</f>
        <v>2450850.0361398165</v>
      </c>
      <c r="E33" s="288">
        <f t="shared" si="3"/>
        <v>59700384.586139813</v>
      </c>
      <c r="F33" s="288">
        <f>+'Detailed Summary'!AU33</f>
        <v>910091.58461704839</v>
      </c>
      <c r="G33" s="288">
        <f t="shared" si="4"/>
        <v>60610476.170756862</v>
      </c>
      <c r="H33" s="295">
        <f>'COC, Def, ConvF'!C21*'COC, Def, ConvF'!M13</f>
        <v>172256.67800000001</v>
      </c>
      <c r="I33" s="288">
        <f t="shared" si="5"/>
        <v>60782732.848756865</v>
      </c>
    </row>
    <row r="34" spans="1:9" x14ac:dyDescent="0.25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Summary'!X34</f>
        <v>4136955.6219727392</v>
      </c>
      <c r="E34" s="288">
        <f t="shared" si="3"/>
        <v>121094686.13197264</v>
      </c>
      <c r="F34" s="288">
        <f>+'Detailed Summary'!AU34</f>
        <v>725519.24705398711</v>
      </c>
      <c r="G34" s="288">
        <f t="shared" si="4"/>
        <v>121820205.37902662</v>
      </c>
      <c r="H34" s="295"/>
      <c r="I34" s="288">
        <f t="shared" si="5"/>
        <v>121820205.37902662</v>
      </c>
    </row>
    <row r="35" spans="1:9" x14ac:dyDescent="0.25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Summary'!X35</f>
        <v>8190016.0321619846</v>
      </c>
      <c r="E35" s="288">
        <f t="shared" si="3"/>
        <v>34307585.992161989</v>
      </c>
      <c r="F35" s="288">
        <f>+'Detailed Summary'!AU35</f>
        <v>3029400.0054726158</v>
      </c>
      <c r="G35" s="288">
        <f t="shared" si="4"/>
        <v>37336985.997634605</v>
      </c>
      <c r="H35" s="295"/>
      <c r="I35" s="288">
        <f t="shared" si="5"/>
        <v>37336985.997634605</v>
      </c>
    </row>
    <row r="36" spans="1:9" x14ac:dyDescent="0.25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Summary'!X36</f>
        <v>0</v>
      </c>
      <c r="E36" s="288">
        <f t="shared" si="3"/>
        <v>0</v>
      </c>
      <c r="F36" s="288">
        <f>+'Detailed Summary'!AU36</f>
        <v>0</v>
      </c>
      <c r="G36" s="288">
        <f t="shared" si="4"/>
        <v>0</v>
      </c>
      <c r="H36" s="295"/>
      <c r="I36" s="288">
        <f t="shared" si="5"/>
        <v>0</v>
      </c>
    </row>
    <row r="37" spans="1:9" x14ac:dyDescent="0.25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Summary'!X37</f>
        <v>0</v>
      </c>
      <c r="E37" s="288">
        <f t="shared" si="3"/>
        <v>8769360.9199999981</v>
      </c>
      <c r="F37" s="288">
        <f>+'Detailed Summary'!AU37</f>
        <v>6374726.2163796239</v>
      </c>
      <c r="G37" s="288">
        <f t="shared" si="4"/>
        <v>15144087.136379622</v>
      </c>
      <c r="H37" s="295"/>
      <c r="I37" s="288">
        <f t="shared" si="5"/>
        <v>15144087.136379622</v>
      </c>
    </row>
    <row r="38" spans="1:9" ht="13.9" x14ac:dyDescent="0.25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Summary'!X38</f>
        <v>0</v>
      </c>
      <c r="E38" s="288">
        <f t="shared" si="3"/>
        <v>0</v>
      </c>
      <c r="F38" s="288">
        <f>+'Detailed Summary'!AU38</f>
        <v>0</v>
      </c>
      <c r="G38" s="288">
        <f t="shared" si="4"/>
        <v>0</v>
      </c>
      <c r="H38" s="295"/>
      <c r="I38" s="288">
        <f t="shared" si="5"/>
        <v>0</v>
      </c>
    </row>
    <row r="39" spans="1:9" x14ac:dyDescent="0.25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Summary'!X39</f>
        <v>-66037515.76964312</v>
      </c>
      <c r="E39" s="288">
        <f t="shared" si="3"/>
        <v>35439781.000356875</v>
      </c>
      <c r="F39" s="288">
        <f>+'Detailed Summary'!AU39</f>
        <v>943258.47807991237</v>
      </c>
      <c r="G39" s="288">
        <f t="shared" si="4"/>
        <v>36383039.47843679</v>
      </c>
      <c r="H39" s="295">
        <f>'COC, Def, ConvF'!C21*'COC, Def, ConvF'!M14</f>
        <v>3300696.3354970003</v>
      </c>
      <c r="I39" s="288">
        <f t="shared" si="5"/>
        <v>39683735.81393379</v>
      </c>
    </row>
    <row r="40" spans="1:9" x14ac:dyDescent="0.25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Summary'!X40</f>
        <v>-27610539.917113401</v>
      </c>
      <c r="E40" s="288">
        <f t="shared" si="3"/>
        <v>4333618.962886598</v>
      </c>
      <c r="F40" s="288">
        <f>+'Detailed Summary'!AU40</f>
        <v>-2347030.1750416788</v>
      </c>
      <c r="G40" s="288">
        <f t="shared" si="4"/>
        <v>1986588.7878449191</v>
      </c>
      <c r="H40" s="295">
        <f>'COC, Def, ConvF'!C21*'COC, Def, ConvF'!M19</f>
        <v>17264942.322583999</v>
      </c>
      <c r="I40" s="288">
        <f t="shared" si="5"/>
        <v>19251531.110428918</v>
      </c>
    </row>
    <row r="41" spans="1:9" x14ac:dyDescent="0.25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Summary'!X41</f>
        <v>10081450.108688122</v>
      </c>
      <c r="E41" s="288">
        <f t="shared" si="3"/>
        <v>523319.51868812554</v>
      </c>
      <c r="F41" s="288">
        <f>+'Detailed Summary'!AU41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 x14ac:dyDescent="0.25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-107932022.07557824</v>
      </c>
      <c r="E42" s="296">
        <f t="shared" si="6"/>
        <v>638951351.02442026</v>
      </c>
      <c r="F42" s="296">
        <f t="shared" si="6"/>
        <v>27320575.845325414</v>
      </c>
      <c r="G42" s="296">
        <f t="shared" si="6"/>
        <v>666271926.86974597</v>
      </c>
      <c r="H42" s="296">
        <f t="shared" si="6"/>
        <v>21179216.945117</v>
      </c>
      <c r="I42" s="296">
        <f t="shared" si="6"/>
        <v>687451143.81486297</v>
      </c>
    </row>
    <row r="43" spans="1:9" x14ac:dyDescent="0.25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5.75" thickBot="1" x14ac:dyDescent="0.3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1155277.4197618663</v>
      </c>
      <c r="E44" s="300">
        <f t="shared" si="7"/>
        <v>105019581.40976322</v>
      </c>
      <c r="F44" s="300">
        <f t="shared" si="7"/>
        <v>-8983046.1093373708</v>
      </c>
      <c r="G44" s="300">
        <f t="shared" si="7"/>
        <v>96036535.300425529</v>
      </c>
      <c r="H44" s="300">
        <f t="shared" si="7"/>
        <v>64949122.054883003</v>
      </c>
      <c r="I44" s="300">
        <f t="shared" si="7"/>
        <v>160985657.35530853</v>
      </c>
    </row>
    <row r="45" spans="1:9" ht="15.75" thickTop="1" x14ac:dyDescent="0.25">
      <c r="A45" s="285">
        <f t="shared" si="0"/>
        <v>33</v>
      </c>
      <c r="G45" s="280"/>
      <c r="I45" s="280"/>
    </row>
    <row r="46" spans="1:9" s="297" customFormat="1" x14ac:dyDescent="0.25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140927380.72412044</v>
      </c>
      <c r="E46" s="293">
        <f>E57</f>
        <v>2092179523.9832296</v>
      </c>
      <c r="F46" s="293">
        <f>F57</f>
        <v>20493141.867642112</v>
      </c>
      <c r="G46" s="293">
        <f>G57</f>
        <v>2112672665.850872</v>
      </c>
      <c r="H46" s="293"/>
      <c r="I46" s="293">
        <f>I57</f>
        <v>2112672665.850872</v>
      </c>
    </row>
    <row r="47" spans="1:9" x14ac:dyDescent="0.25">
      <c r="A47" s="285">
        <f t="shared" si="0"/>
        <v>35</v>
      </c>
      <c r="B47" s="292"/>
      <c r="G47" s="280"/>
      <c r="I47" s="280"/>
    </row>
    <row r="48" spans="1:9" x14ac:dyDescent="0.25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5.0196257159529023E-2</v>
      </c>
      <c r="F48" s="301"/>
      <c r="G48" s="301">
        <f>+G44/G46</f>
        <v>4.5457366326906647E-2</v>
      </c>
      <c r="H48" s="288"/>
      <c r="I48" s="301">
        <f>+I44/I46</f>
        <v>7.6200000102936954E-2</v>
      </c>
    </row>
    <row r="49" spans="1:9" x14ac:dyDescent="0.25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9" x14ac:dyDescent="0.25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9" x14ac:dyDescent="0.25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Summary'!X51</f>
        <v>200340092.80947351</v>
      </c>
      <c r="E51" s="293">
        <f t="shared" ref="E51:E56" si="8">SUM(C51:D51)</f>
        <v>4300940372.1867046</v>
      </c>
      <c r="F51" s="293">
        <f>+'Detailed Summary'!AU51</f>
        <v>28834954.663787454</v>
      </c>
      <c r="G51" s="293">
        <f t="shared" ref="G51:G56" si="9">SUM(E51:F51)</f>
        <v>4329775326.8504925</v>
      </c>
      <c r="H51" s="293"/>
      <c r="I51" s="293">
        <f t="shared" ref="I51:I56" si="10">SUM(G51:H51)</f>
        <v>4329775326.8504925</v>
      </c>
    </row>
    <row r="52" spans="1:9" x14ac:dyDescent="0.25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Summary'!X52</f>
        <v>-67842753.331441611</v>
      </c>
      <c r="E52" s="288">
        <f t="shared" si="8"/>
        <v>-1637637926.6516845</v>
      </c>
      <c r="F52" s="288">
        <f>+'Detailed Summary'!AU52</f>
        <v>-12748886.860358153</v>
      </c>
      <c r="G52" s="288">
        <f t="shared" si="9"/>
        <v>-1650386813.5120428</v>
      </c>
      <c r="H52" s="288"/>
      <c r="I52" s="288">
        <f t="shared" si="10"/>
        <v>-1650386813.5120428</v>
      </c>
    </row>
    <row r="53" spans="1:9" x14ac:dyDescent="0.25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Summary'!X53</f>
        <v>6347210.0832483806</v>
      </c>
      <c r="E53" s="288">
        <f t="shared" si="8"/>
        <v>-597685090.60554671</v>
      </c>
      <c r="F53" s="288">
        <f>+'Detailed Summary'!AU53</f>
        <v>-4143209.6745957471</v>
      </c>
      <c r="G53" s="288">
        <f t="shared" si="9"/>
        <v>-601828300.28014243</v>
      </c>
      <c r="H53" s="288"/>
      <c r="I53" s="288">
        <f t="shared" si="10"/>
        <v>-601828300.28014243</v>
      </c>
    </row>
    <row r="54" spans="1:9" x14ac:dyDescent="0.25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Summary'!X54</f>
        <v>2958805.4567250796</v>
      </c>
      <c r="E54" s="288">
        <f t="shared" si="8"/>
        <v>-26993656.705525</v>
      </c>
      <c r="F54" s="288">
        <f>+'Detailed Summary'!AU54</f>
        <v>8550283.7388085593</v>
      </c>
      <c r="G54" s="288">
        <f t="shared" si="9"/>
        <v>-18443372.966716439</v>
      </c>
      <c r="H54" s="288"/>
      <c r="I54" s="288">
        <f t="shared" si="10"/>
        <v>-18443372.966716439</v>
      </c>
    </row>
    <row r="55" spans="1:9" x14ac:dyDescent="0.25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Summary'!X55</f>
        <v>-875974.29388491809</v>
      </c>
      <c r="E55" s="288">
        <f t="shared" si="8"/>
        <v>53555825.759281471</v>
      </c>
      <c r="F55" s="288">
        <f>+'Detailed Summary'!AU55</f>
        <v>0</v>
      </c>
      <c r="G55" s="288">
        <f t="shared" si="9"/>
        <v>53555825.759281471</v>
      </c>
      <c r="H55" s="288"/>
      <c r="I55" s="288">
        <f t="shared" si="10"/>
        <v>53555825.759281471</v>
      </c>
    </row>
    <row r="56" spans="1:9" x14ac:dyDescent="0.25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Summary'!X56</f>
        <v>0</v>
      </c>
      <c r="E56" s="288">
        <f t="shared" si="8"/>
        <v>0</v>
      </c>
      <c r="F56" s="288">
        <f>+'Detailed Summary'!AU56</f>
        <v>0</v>
      </c>
      <c r="G56" s="288">
        <f t="shared" si="9"/>
        <v>0</v>
      </c>
      <c r="H56" s="288"/>
      <c r="I56" s="288">
        <f t="shared" si="10"/>
        <v>0</v>
      </c>
    </row>
    <row r="57" spans="1:9" ht="15.75" thickBot="1" x14ac:dyDescent="0.3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140927380.72412044</v>
      </c>
      <c r="E57" s="303">
        <f>SUM(E51:E56)</f>
        <v>2092179523.9832296</v>
      </c>
      <c r="F57" s="304">
        <f>SUM(F51:F56)</f>
        <v>20493141.867642112</v>
      </c>
      <c r="G57" s="303">
        <f>SUM(G51:G56)</f>
        <v>2112672665.850872</v>
      </c>
      <c r="H57" s="303"/>
      <c r="I57" s="303">
        <f>SUM(I51:I56)</f>
        <v>2112672665.850872</v>
      </c>
    </row>
    <row r="58" spans="1:9" ht="15.75" thickTop="1" x14ac:dyDescent="0.25">
      <c r="A58" s="285">
        <f t="shared" si="0"/>
        <v>46</v>
      </c>
    </row>
    <row r="59" spans="1:9" x14ac:dyDescent="0.25">
      <c r="A59" s="285">
        <f t="shared" si="0"/>
        <v>47</v>
      </c>
      <c r="B59" s="292" t="s">
        <v>155</v>
      </c>
      <c r="C59" s="305">
        <f>+'COC, Def, ConvF'!$C$13</f>
        <v>7.6200000000000004E-2</v>
      </c>
      <c r="D59" s="305">
        <f>+'COC, Def, ConvF'!$C$13</f>
        <v>7.6200000000000004E-2</v>
      </c>
      <c r="E59" s="305">
        <f>+'COC, Def, ConvF'!$C$13</f>
        <v>7.6200000000000004E-2</v>
      </c>
      <c r="F59" s="305">
        <f>+'COC, Def, ConvF'!$C$13</f>
        <v>7.6200000000000004E-2</v>
      </c>
      <c r="G59" s="305">
        <f>+'COC, Def, ConvF'!$C$13</f>
        <v>7.6200000000000004E-2</v>
      </c>
      <c r="H59" s="305">
        <f>+'COC, Def, ConvF'!$C$13</f>
        <v>7.6200000000000004E-2</v>
      </c>
      <c r="I59" s="305">
        <f>+'COC, Def, ConvF'!$C$13</f>
        <v>7.6200000000000004E-2</v>
      </c>
    </row>
    <row r="60" spans="1:9" x14ac:dyDescent="0.25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9" x14ac:dyDescent="0.25">
      <c r="A61" s="285">
        <f t="shared" si="0"/>
        <v>49</v>
      </c>
      <c r="B61" s="292" t="s">
        <v>177</v>
      </c>
      <c r="C61" s="297">
        <f t="shared" ref="C61:I61" si="11">+C44-(C57*C59)</f>
        <v>-44821109.32634294</v>
      </c>
      <c r="D61" s="297">
        <f t="shared" si="11"/>
        <v>-9583388.9914161116</v>
      </c>
      <c r="E61" s="297">
        <f t="shared" si="11"/>
        <v>-54404498.317758888</v>
      </c>
      <c r="F61" s="297">
        <f t="shared" si="11"/>
        <v>-10544623.5196517</v>
      </c>
      <c r="G61" s="297">
        <f t="shared" si="11"/>
        <v>-64949121.837410927</v>
      </c>
      <c r="H61" s="297">
        <f t="shared" si="11"/>
        <v>64949122.054883003</v>
      </c>
      <c r="I61" s="297">
        <f t="shared" si="11"/>
        <v>0.21747207641601563</v>
      </c>
    </row>
    <row r="62" spans="1:9" x14ac:dyDescent="0.25">
      <c r="A62" s="285">
        <f t="shared" si="0"/>
        <v>50</v>
      </c>
      <c r="B62" s="292" t="s">
        <v>178</v>
      </c>
      <c r="C62" s="297">
        <f t="shared" ref="C62:I62" si="12">-C61/C60</f>
        <v>59436795.699151352</v>
      </c>
      <c r="D62" s="297">
        <f t="shared" si="12"/>
        <v>12708430.071219102</v>
      </c>
      <c r="E62" s="297">
        <f t="shared" si="12"/>
        <v>72145225.770370245</v>
      </c>
      <c r="F62" s="297">
        <f t="shared" si="12"/>
        <v>13983112.941241909</v>
      </c>
      <c r="G62" s="297">
        <f t="shared" si="12"/>
        <v>86128338.711612597</v>
      </c>
      <c r="H62" s="297">
        <f t="shared" si="12"/>
        <v>-86128339</v>
      </c>
      <c r="I62" s="297">
        <f t="shared" si="12"/>
        <v>-0.28838740429416326</v>
      </c>
    </row>
    <row r="63" spans="1:9" x14ac:dyDescent="0.25">
      <c r="B63" s="292"/>
    </row>
    <row r="64" spans="1:9" ht="15.75" thickBot="1" x14ac:dyDescent="0.3"/>
    <row r="65" spans="1:8" x14ac:dyDescent="0.25">
      <c r="B65" s="307" t="s">
        <v>310</v>
      </c>
      <c r="C65" s="308"/>
      <c r="D65" s="308"/>
      <c r="E65" s="309">
        <f>+C62+D62-E62</f>
        <v>2.0861625671386719E-7</v>
      </c>
      <c r="F65" s="308"/>
      <c r="G65" s="310">
        <f>+E62+F62-G62</f>
        <v>-4.4703483581542969E-7</v>
      </c>
    </row>
    <row r="66" spans="1:8" x14ac:dyDescent="0.25">
      <c r="B66" s="311" t="s">
        <v>311</v>
      </c>
      <c r="C66" s="312"/>
      <c r="D66" s="312"/>
      <c r="E66" s="312"/>
      <c r="F66" s="312"/>
      <c r="G66" s="313"/>
    </row>
    <row r="67" spans="1:8" x14ac:dyDescent="0.25">
      <c r="B67" s="311" t="s">
        <v>312</v>
      </c>
      <c r="C67" s="314">
        <f>+'Detailed Summary'!C44-C44</f>
        <v>0</v>
      </c>
      <c r="D67" s="314">
        <f>'Detailed Summary'!X44-D44</f>
        <v>0</v>
      </c>
      <c r="E67" s="314">
        <f>'Detailed Summary'!Y44-E44</f>
        <v>0</v>
      </c>
      <c r="F67" s="314">
        <f>'Detailed Summary'!AU44-F44</f>
        <v>0</v>
      </c>
      <c r="G67" s="315">
        <f>'Detailed Summary'!AV44-G44</f>
        <v>0</v>
      </c>
      <c r="H67" s="279"/>
    </row>
    <row r="68" spans="1:8" ht="15.75" thickBot="1" x14ac:dyDescent="0.3">
      <c r="B68" s="316" t="s">
        <v>313</v>
      </c>
      <c r="C68" s="317">
        <f>+'Detailed Summary'!C46-C46</f>
        <v>0</v>
      </c>
      <c r="D68" s="317">
        <f>'Detailed Summary'!X46-D46</f>
        <v>0</v>
      </c>
      <c r="E68" s="317">
        <f>'Detailed Summary'!Y46-E46</f>
        <v>0</v>
      </c>
      <c r="F68" s="317">
        <f>'Detailed Summary'!AU46-F46</f>
        <v>0</v>
      </c>
      <c r="G68" s="318">
        <f>'Detailed Summary'!AV46-G46</f>
        <v>0</v>
      </c>
      <c r="H68" s="279"/>
    </row>
    <row r="69" spans="1:8" x14ac:dyDescent="0.25">
      <c r="C69" s="279"/>
      <c r="D69" s="279"/>
      <c r="E69" s="279"/>
      <c r="F69" s="279"/>
      <c r="H69" s="279"/>
    </row>
    <row r="70" spans="1:8" x14ac:dyDescent="0.25">
      <c r="C70" s="279"/>
      <c r="D70" s="279"/>
      <c r="E70" s="279"/>
      <c r="F70" s="279"/>
      <c r="H70" s="279"/>
    </row>
    <row r="71" spans="1:8" x14ac:dyDescent="0.25">
      <c r="C71" s="279"/>
      <c r="D71" s="279"/>
      <c r="E71" s="279"/>
      <c r="F71" s="279"/>
      <c r="H71" s="279"/>
    </row>
    <row r="72" spans="1:8" x14ac:dyDescent="0.25">
      <c r="C72" s="279"/>
      <c r="D72" s="279"/>
      <c r="E72" s="279"/>
      <c r="F72" s="279"/>
      <c r="H72" s="279"/>
    </row>
    <row r="73" spans="1:8" x14ac:dyDescent="0.25">
      <c r="C73" s="279"/>
      <c r="D73" s="279"/>
      <c r="E73" s="279"/>
      <c r="F73" s="279"/>
      <c r="H73" s="279"/>
    </row>
    <row r="74" spans="1:8" x14ac:dyDescent="0.25">
      <c r="C74" s="279"/>
      <c r="D74" s="279"/>
      <c r="E74" s="279"/>
      <c r="F74" s="279"/>
      <c r="H74" s="279"/>
    </row>
    <row r="75" spans="1:8" x14ac:dyDescent="0.25">
      <c r="C75" s="279"/>
      <c r="D75" s="279"/>
      <c r="E75" s="279"/>
      <c r="F75" s="279"/>
      <c r="H75" s="279"/>
    </row>
    <row r="76" spans="1:8" x14ac:dyDescent="0.25">
      <c r="A76" s="279">
        <v>4</v>
      </c>
      <c r="C76" s="279"/>
      <c r="D76" s="279"/>
      <c r="E76" s="279"/>
      <c r="F76" s="279"/>
      <c r="H76" s="279"/>
    </row>
    <row r="77" spans="1:8" x14ac:dyDescent="0.25">
      <c r="C77" s="279"/>
      <c r="D77" s="279"/>
      <c r="E77" s="279"/>
      <c r="F77" s="279"/>
      <c r="H77" s="279"/>
    </row>
    <row r="78" spans="1:8" x14ac:dyDescent="0.25">
      <c r="C78" s="279"/>
      <c r="D78" s="279"/>
      <c r="E78" s="279"/>
      <c r="F78" s="279"/>
      <c r="H78" s="279"/>
    </row>
    <row r="79" spans="1:8" x14ac:dyDescent="0.25">
      <c r="C79" s="279"/>
      <c r="D79" s="279"/>
      <c r="E79" s="279"/>
      <c r="F79" s="279"/>
      <c r="H79" s="279"/>
    </row>
    <row r="80" spans="1:8" x14ac:dyDescent="0.25">
      <c r="C80" s="279"/>
      <c r="D80" s="279"/>
      <c r="E80" s="279"/>
      <c r="F80" s="279"/>
      <c r="H80" s="279"/>
    </row>
    <row r="81" spans="3:8" x14ac:dyDescent="0.25">
      <c r="C81" s="279"/>
      <c r="D81" s="279"/>
      <c r="E81" s="279"/>
      <c r="F81" s="279"/>
      <c r="H81" s="279"/>
    </row>
    <row r="82" spans="3:8" x14ac:dyDescent="0.25">
      <c r="C82" s="279"/>
      <c r="D82" s="279"/>
      <c r="E82" s="279"/>
      <c r="F82" s="279"/>
      <c r="H82" s="279"/>
    </row>
    <row r="83" spans="3:8" x14ac:dyDescent="0.25">
      <c r="C83" s="279"/>
      <c r="D83" s="279"/>
      <c r="E83" s="279"/>
      <c r="F83" s="279"/>
      <c r="H83" s="279"/>
    </row>
    <row r="84" spans="3:8" x14ac:dyDescent="0.25">
      <c r="C84" s="279"/>
      <c r="D84" s="279"/>
      <c r="E84" s="279"/>
      <c r="F84" s="279"/>
      <c r="H84" s="279"/>
    </row>
    <row r="85" spans="3:8" x14ac:dyDescent="0.25">
      <c r="C85" s="279"/>
      <c r="D85" s="279"/>
      <c r="E85" s="279"/>
      <c r="F85" s="279"/>
      <c r="H85" s="279"/>
    </row>
    <row r="86" spans="3:8" x14ac:dyDescent="0.25">
      <c r="C86" s="279"/>
      <c r="D86" s="279"/>
      <c r="E86" s="279"/>
      <c r="F86" s="279"/>
      <c r="H86" s="279"/>
    </row>
    <row r="87" spans="3:8" x14ac:dyDescent="0.25">
      <c r="C87" s="279"/>
      <c r="D87" s="279"/>
      <c r="E87" s="279"/>
      <c r="F87" s="279"/>
      <c r="H87" s="279"/>
    </row>
    <row r="88" spans="3:8" x14ac:dyDescent="0.25">
      <c r="C88" s="279"/>
      <c r="D88" s="279"/>
      <c r="E88" s="279"/>
      <c r="F88" s="279"/>
      <c r="H88" s="279"/>
    </row>
    <row r="89" spans="3:8" x14ac:dyDescent="0.25">
      <c r="C89" s="279"/>
      <c r="D89" s="279"/>
      <c r="E89" s="279"/>
      <c r="F89" s="279"/>
      <c r="H89" s="279"/>
    </row>
    <row r="90" spans="3:8" x14ac:dyDescent="0.25">
      <c r="C90" s="279"/>
      <c r="D90" s="279"/>
      <c r="E90" s="279"/>
      <c r="F90" s="279"/>
      <c r="H90" s="279"/>
    </row>
    <row r="91" spans="3:8" x14ac:dyDescent="0.25">
      <c r="C91" s="279"/>
      <c r="D91" s="279"/>
      <c r="E91" s="279"/>
      <c r="F91" s="279"/>
      <c r="H91" s="279"/>
    </row>
    <row r="92" spans="3:8" x14ac:dyDescent="0.25">
      <c r="C92" s="279"/>
      <c r="D92" s="279"/>
      <c r="E92" s="279"/>
      <c r="F92" s="279"/>
      <c r="H92" s="279"/>
    </row>
    <row r="93" spans="3:8" x14ac:dyDescent="0.25">
      <c r="C93" s="279"/>
      <c r="D93" s="279"/>
      <c r="E93" s="279"/>
      <c r="F93" s="279"/>
      <c r="H93" s="279"/>
    </row>
    <row r="94" spans="3:8" x14ac:dyDescent="0.25">
      <c r="C94" s="279"/>
      <c r="D94" s="279"/>
      <c r="E94" s="279"/>
      <c r="F94" s="279"/>
      <c r="H94" s="279"/>
    </row>
    <row r="95" spans="3:8" x14ac:dyDescent="0.25">
      <c r="C95" s="279"/>
      <c r="D95" s="279"/>
      <c r="E95" s="279"/>
      <c r="F95" s="279"/>
      <c r="H95" s="279"/>
    </row>
    <row r="96" spans="3:8" x14ac:dyDescent="0.25">
      <c r="C96" s="279"/>
      <c r="D96" s="279"/>
      <c r="E96" s="279"/>
      <c r="F96" s="279"/>
      <c r="H96" s="279"/>
    </row>
    <row r="97" spans="3:8" x14ac:dyDescent="0.25">
      <c r="C97" s="279"/>
      <c r="D97" s="279"/>
      <c r="E97" s="279"/>
      <c r="F97" s="279"/>
      <c r="H97" s="279"/>
    </row>
    <row r="98" spans="3:8" x14ac:dyDescent="0.25">
      <c r="C98" s="279"/>
      <c r="D98" s="279"/>
      <c r="E98" s="279"/>
      <c r="F98" s="279"/>
      <c r="H98" s="279"/>
    </row>
    <row r="99" spans="3:8" x14ac:dyDescent="0.25">
      <c r="C99" s="279"/>
      <c r="D99" s="279"/>
      <c r="E99" s="279"/>
      <c r="F99" s="279"/>
      <c r="H99" s="279"/>
    </row>
    <row r="100" spans="3:8" x14ac:dyDescent="0.25">
      <c r="C100" s="279"/>
      <c r="D100" s="279"/>
      <c r="E100" s="279"/>
      <c r="F100" s="279"/>
      <c r="H100" s="279"/>
    </row>
    <row r="101" spans="3:8" x14ac:dyDescent="0.25">
      <c r="C101" s="279"/>
      <c r="D101" s="279"/>
      <c r="E101" s="279"/>
      <c r="F101" s="279"/>
      <c r="H101" s="279"/>
    </row>
    <row r="102" spans="3:8" x14ac:dyDescent="0.25">
      <c r="C102" s="279"/>
      <c r="D102" s="279"/>
      <c r="E102" s="279"/>
      <c r="F102" s="279"/>
      <c r="H102" s="279"/>
    </row>
    <row r="103" spans="3:8" x14ac:dyDescent="0.25">
      <c r="C103" s="279"/>
      <c r="D103" s="279"/>
      <c r="E103" s="279"/>
      <c r="F103" s="279"/>
      <c r="H103" s="279"/>
    </row>
    <row r="104" spans="3:8" x14ac:dyDescent="0.25">
      <c r="C104" s="279"/>
      <c r="D104" s="279"/>
      <c r="E104" s="279"/>
      <c r="F104" s="279"/>
      <c r="H104" s="279"/>
    </row>
    <row r="105" spans="3:8" x14ac:dyDescent="0.25">
      <c r="C105" s="279"/>
      <c r="D105" s="279"/>
      <c r="E105" s="279"/>
      <c r="F105" s="279"/>
      <c r="H105" s="279"/>
    </row>
    <row r="106" spans="3:8" x14ac:dyDescent="0.25">
      <c r="C106" s="279"/>
      <c r="D106" s="279"/>
      <c r="E106" s="279"/>
      <c r="F106" s="279"/>
      <c r="H106" s="279"/>
    </row>
    <row r="107" spans="3:8" x14ac:dyDescent="0.25">
      <c r="C107" s="279"/>
      <c r="D107" s="279"/>
      <c r="E107" s="279"/>
      <c r="F107" s="279"/>
      <c r="H107" s="279"/>
    </row>
    <row r="108" spans="3:8" x14ac:dyDescent="0.25">
      <c r="C108" s="279"/>
      <c r="D108" s="279"/>
      <c r="E108" s="279"/>
      <c r="F108" s="279"/>
      <c r="H108" s="279"/>
    </row>
    <row r="109" spans="3:8" x14ac:dyDescent="0.25">
      <c r="C109" s="279"/>
      <c r="D109" s="279"/>
      <c r="E109" s="279"/>
      <c r="F109" s="279"/>
      <c r="H109" s="279"/>
    </row>
    <row r="110" spans="3:8" x14ac:dyDescent="0.25">
      <c r="C110" s="279"/>
      <c r="D110" s="279"/>
      <c r="E110" s="279"/>
      <c r="F110" s="279"/>
      <c r="H110" s="279"/>
    </row>
    <row r="111" spans="3:8" x14ac:dyDescent="0.25">
      <c r="C111" s="279"/>
      <c r="D111" s="279"/>
      <c r="E111" s="279"/>
      <c r="F111" s="279"/>
      <c r="H111" s="279"/>
    </row>
    <row r="112" spans="3:8" x14ac:dyDescent="0.25">
      <c r="C112" s="279"/>
      <c r="D112" s="279"/>
      <c r="E112" s="279"/>
      <c r="F112" s="279"/>
      <c r="H112" s="279"/>
    </row>
    <row r="113" spans="3:8" x14ac:dyDescent="0.25">
      <c r="C113" s="279"/>
      <c r="D113" s="279"/>
      <c r="E113" s="279"/>
      <c r="F113" s="279"/>
      <c r="H113" s="279"/>
    </row>
    <row r="114" spans="3:8" x14ac:dyDescent="0.25">
      <c r="C114" s="279"/>
      <c r="D114" s="279"/>
      <c r="E114" s="279"/>
      <c r="F114" s="279"/>
      <c r="H114" s="279"/>
    </row>
    <row r="115" spans="3:8" x14ac:dyDescent="0.25">
      <c r="C115" s="279"/>
      <c r="D115" s="279"/>
      <c r="E115" s="279"/>
      <c r="F115" s="279"/>
      <c r="H115" s="279"/>
    </row>
    <row r="116" spans="3:8" x14ac:dyDescent="0.25">
      <c r="C116" s="279"/>
      <c r="D116" s="279"/>
      <c r="E116" s="279"/>
      <c r="F116" s="279"/>
      <c r="H116" s="279"/>
    </row>
    <row r="117" spans="3:8" x14ac:dyDescent="0.25">
      <c r="C117" s="279"/>
      <c r="D117" s="279"/>
      <c r="E117" s="279"/>
      <c r="F117" s="279"/>
      <c r="H117" s="279"/>
    </row>
    <row r="118" spans="3:8" x14ac:dyDescent="0.25">
      <c r="C118" s="279"/>
      <c r="D118" s="279"/>
      <c r="E118" s="279"/>
      <c r="F118" s="279"/>
      <c r="H118" s="279"/>
    </row>
    <row r="119" spans="3:8" x14ac:dyDescent="0.25">
      <c r="C119" s="279"/>
      <c r="D119" s="279"/>
      <c r="E119" s="279"/>
      <c r="F119" s="279"/>
      <c r="H119" s="279"/>
    </row>
    <row r="120" spans="3:8" x14ac:dyDescent="0.25">
      <c r="C120" s="279"/>
      <c r="D120" s="279"/>
      <c r="E120" s="279"/>
      <c r="F120" s="279"/>
      <c r="H120" s="279"/>
    </row>
    <row r="121" spans="3:8" x14ac:dyDescent="0.25">
      <c r="C121" s="279"/>
      <c r="D121" s="279"/>
      <c r="E121" s="279"/>
      <c r="F121" s="279"/>
      <c r="H121" s="279"/>
    </row>
    <row r="122" spans="3:8" x14ac:dyDescent="0.25">
      <c r="C122" s="279"/>
      <c r="D122" s="279"/>
      <c r="E122" s="279"/>
      <c r="F122" s="279"/>
      <c r="H122" s="279"/>
    </row>
    <row r="123" spans="3:8" x14ac:dyDescent="0.25">
      <c r="C123" s="279"/>
      <c r="D123" s="279"/>
      <c r="E123" s="279"/>
      <c r="F123" s="279"/>
      <c r="H123" s="279"/>
    </row>
    <row r="124" spans="3:8" x14ac:dyDescent="0.25">
      <c r="C124" s="279"/>
      <c r="D124" s="279"/>
      <c r="E124" s="279"/>
      <c r="F124" s="279"/>
      <c r="H124" s="279"/>
    </row>
    <row r="125" spans="3:8" x14ac:dyDescent="0.25">
      <c r="C125" s="279"/>
      <c r="D125" s="279"/>
      <c r="E125" s="279"/>
      <c r="F125" s="279"/>
      <c r="H125" s="279"/>
    </row>
    <row r="126" spans="3:8" x14ac:dyDescent="0.25">
      <c r="C126" s="279"/>
      <c r="D126" s="279"/>
      <c r="E126" s="279"/>
      <c r="F126" s="279"/>
      <c r="H126" s="279"/>
    </row>
    <row r="127" spans="3:8" x14ac:dyDescent="0.25">
      <c r="C127" s="279"/>
      <c r="D127" s="279"/>
      <c r="E127" s="279"/>
      <c r="F127" s="279"/>
      <c r="H127" s="279"/>
    </row>
    <row r="128" spans="3:8" x14ac:dyDescent="0.25">
      <c r="C128" s="279"/>
      <c r="D128" s="279"/>
      <c r="E128" s="279"/>
      <c r="F128" s="279"/>
      <c r="H128" s="279"/>
    </row>
    <row r="129" spans="3:8" x14ac:dyDescent="0.25">
      <c r="C129" s="279"/>
      <c r="D129" s="279"/>
      <c r="E129" s="279"/>
      <c r="F129" s="279"/>
      <c r="H129" s="279"/>
    </row>
    <row r="130" spans="3:8" x14ac:dyDescent="0.25">
      <c r="C130" s="279"/>
      <c r="D130" s="279"/>
      <c r="E130" s="279"/>
      <c r="F130" s="279"/>
      <c r="H130" s="279"/>
    </row>
    <row r="131" spans="3:8" x14ac:dyDescent="0.25">
      <c r="C131" s="279"/>
      <c r="D131" s="279"/>
      <c r="E131" s="279"/>
      <c r="F131" s="279"/>
      <c r="H131" s="279"/>
    </row>
    <row r="132" spans="3:8" x14ac:dyDescent="0.25">
      <c r="C132" s="279"/>
      <c r="D132" s="279"/>
      <c r="E132" s="279"/>
      <c r="F132" s="279"/>
      <c r="H132" s="279"/>
    </row>
    <row r="133" spans="3:8" x14ac:dyDescent="0.25">
      <c r="C133" s="279"/>
      <c r="D133" s="279"/>
      <c r="E133" s="279"/>
      <c r="F133" s="279"/>
      <c r="H133" s="279"/>
    </row>
    <row r="134" spans="3:8" x14ac:dyDescent="0.25">
      <c r="C134" s="279"/>
      <c r="D134" s="279"/>
      <c r="E134" s="279"/>
      <c r="F134" s="279"/>
      <c r="H134" s="279"/>
    </row>
    <row r="135" spans="3:8" x14ac:dyDescent="0.25">
      <c r="C135" s="279"/>
      <c r="D135" s="279"/>
      <c r="E135" s="279"/>
      <c r="F135" s="279"/>
      <c r="H135" s="279"/>
    </row>
    <row r="136" spans="3:8" x14ac:dyDescent="0.25">
      <c r="C136" s="279"/>
      <c r="D136" s="279"/>
      <c r="E136" s="279"/>
      <c r="F136" s="279"/>
      <c r="H136" s="279"/>
    </row>
    <row r="137" spans="3:8" x14ac:dyDescent="0.25">
      <c r="C137" s="279"/>
      <c r="D137" s="279"/>
      <c r="E137" s="279"/>
      <c r="F137" s="279"/>
      <c r="H137" s="279"/>
    </row>
    <row r="138" spans="3:8" x14ac:dyDescent="0.25">
      <c r="C138" s="279"/>
      <c r="D138" s="279"/>
      <c r="E138" s="279"/>
      <c r="F138" s="279"/>
      <c r="H138" s="279"/>
    </row>
    <row r="139" spans="3:8" x14ac:dyDescent="0.25">
      <c r="C139" s="279"/>
      <c r="D139" s="279"/>
      <c r="E139" s="279"/>
      <c r="F139" s="279"/>
      <c r="H139" s="279"/>
    </row>
    <row r="140" spans="3:8" x14ac:dyDescent="0.25">
      <c r="C140" s="279"/>
      <c r="D140" s="279"/>
      <c r="E140" s="279"/>
      <c r="F140" s="279"/>
      <c r="H140" s="279"/>
    </row>
    <row r="141" spans="3:8" x14ac:dyDescent="0.25">
      <c r="C141" s="279"/>
      <c r="D141" s="279"/>
      <c r="E141" s="279"/>
      <c r="F141" s="279"/>
      <c r="H141" s="279"/>
    </row>
    <row r="142" spans="3:8" x14ac:dyDescent="0.25">
      <c r="C142" s="279"/>
      <c r="D142" s="279"/>
      <c r="E142" s="279"/>
      <c r="F142" s="279"/>
      <c r="H142" s="279"/>
    </row>
    <row r="143" spans="3:8" x14ac:dyDescent="0.25">
      <c r="C143" s="279"/>
      <c r="D143" s="279"/>
      <c r="E143" s="279"/>
      <c r="F143" s="279"/>
      <c r="H143" s="279"/>
    </row>
    <row r="144" spans="3:8" x14ac:dyDescent="0.25">
      <c r="C144" s="279"/>
      <c r="D144" s="279"/>
      <c r="E144" s="279"/>
      <c r="F144" s="279"/>
      <c r="H144" s="279"/>
    </row>
  </sheetData>
  <printOptions horizontalCentered="1"/>
  <pageMargins left="0.2" right="0.2" top="0.25" bottom="0.25" header="0.05" footer="0.05"/>
  <pageSetup scale="62" fitToWidth="0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1"/>
  <sheetViews>
    <sheetView zoomScale="85" zoomScaleNormal="85" workbookViewId="0">
      <pane xSplit="2" ySplit="12" topLeftCell="AQ54" activePane="bottomRight" state="frozen"/>
      <selection activeCell="C23" sqref="C23"/>
      <selection pane="topRight" activeCell="C23" sqref="C23"/>
      <selection pane="bottomLeft" activeCell="C23" sqref="C23"/>
      <selection pane="bottomRight" activeCell="E9" sqref="E9"/>
    </sheetView>
  </sheetViews>
  <sheetFormatPr defaultColWidth="9.140625" defaultRowHeight="15" outlineLevelCol="1" x14ac:dyDescent="0.25"/>
  <cols>
    <col min="1" max="1" width="4.5703125" style="280" customWidth="1"/>
    <col min="2" max="2" width="38.7109375" style="280" customWidth="1"/>
    <col min="3" max="3" width="17.28515625" style="280" customWidth="1"/>
    <col min="4" max="4" width="15.28515625" style="280" customWidth="1" outlineLevel="1"/>
    <col min="5" max="5" width="15.28515625" style="280" customWidth="1"/>
    <col min="6" max="6" width="15.28515625" style="280" customWidth="1" outlineLevel="1"/>
    <col min="7" max="7" width="20.7109375" style="280" bestFit="1" customWidth="1" outlineLevel="1"/>
    <col min="8" max="8" width="21.5703125" style="280" bestFit="1" customWidth="1" outlineLevel="1"/>
    <col min="9" max="23" width="15.28515625" style="280" customWidth="1" outlineLevel="1"/>
    <col min="24" max="24" width="19.140625" style="280" bestFit="1" customWidth="1"/>
    <col min="25" max="25" width="17.140625" style="280" customWidth="1"/>
    <col min="26" max="26" width="15.28515625" style="280" customWidth="1" outlineLevel="1"/>
    <col min="27" max="27" width="17.140625" style="280" customWidth="1" outlineLevel="1"/>
    <col min="28" max="34" width="15.28515625" style="280" customWidth="1" outlineLevel="1"/>
    <col min="35" max="35" width="17.42578125" style="280" customWidth="1" outlineLevel="1"/>
    <col min="36" max="40" width="15.28515625" style="280" customWidth="1" outlineLevel="1"/>
    <col min="41" max="41" width="16.85546875" style="280" customWidth="1" outlineLevel="1"/>
    <col min="42" max="46" width="15.28515625" style="280" customWidth="1" outlineLevel="1"/>
    <col min="47" max="47" width="15.28515625" style="280" customWidth="1"/>
    <col min="48" max="48" width="18.140625" style="280" bestFit="1" customWidth="1"/>
    <col min="49" max="49" width="14.85546875" style="280" bestFit="1" customWidth="1"/>
    <col min="50" max="50" width="19.140625" style="280" bestFit="1" customWidth="1"/>
    <col min="51" max="51" width="14.85546875" style="280" bestFit="1" customWidth="1"/>
    <col min="52" max="52" width="15" style="280" bestFit="1" customWidth="1"/>
    <col min="53" max="53" width="15.85546875" style="280" bestFit="1" customWidth="1"/>
    <col min="54" max="54" width="13.85546875" style="280" bestFit="1" customWidth="1"/>
    <col min="55" max="56" width="15.85546875" style="280" bestFit="1" customWidth="1"/>
    <col min="57" max="57" width="12" style="280" bestFit="1" customWidth="1"/>
    <col min="58" max="16384" width="9.140625" style="280"/>
  </cols>
  <sheetData>
    <row r="1" spans="1:48" x14ac:dyDescent="0.25">
      <c r="A1" s="418" t="s">
        <v>38</v>
      </c>
      <c r="C1" s="418"/>
      <c r="L1" s="419" t="s">
        <v>516</v>
      </c>
      <c r="M1" s="420"/>
      <c r="X1" s="419" t="s">
        <v>517</v>
      </c>
      <c r="Y1" s="420"/>
      <c r="Z1" s="418"/>
      <c r="AA1" s="418"/>
      <c r="AB1" s="418"/>
      <c r="AC1" s="418"/>
      <c r="AD1" s="418"/>
      <c r="AG1" s="418"/>
      <c r="AH1" s="418"/>
      <c r="AI1" s="418"/>
      <c r="AJ1" s="419" t="s">
        <v>518</v>
      </c>
      <c r="AK1" s="420"/>
      <c r="AL1" s="418"/>
      <c r="AN1" s="418"/>
      <c r="AQ1" s="418"/>
      <c r="AR1" s="418"/>
      <c r="AS1" s="418"/>
      <c r="AT1" s="418"/>
      <c r="AU1" s="419" t="s">
        <v>519</v>
      </c>
      <c r="AV1" s="420"/>
    </row>
    <row r="2" spans="1:48" x14ac:dyDescent="0.25">
      <c r="A2" s="418" t="s">
        <v>431</v>
      </c>
      <c r="C2" s="418"/>
      <c r="W2" s="418"/>
      <c r="Y2" s="418"/>
      <c r="Z2" s="418"/>
      <c r="AA2" s="418"/>
      <c r="AB2" s="418"/>
      <c r="AC2" s="418"/>
      <c r="AD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</row>
    <row r="3" spans="1:48" x14ac:dyDescent="0.25">
      <c r="A3" s="418" t="s">
        <v>196</v>
      </c>
      <c r="C3" s="418"/>
    </row>
    <row r="4" spans="1:48" x14ac:dyDescent="0.25">
      <c r="A4" s="418" t="str">
        <f>CASE_GAS</f>
        <v>2019 GENERAL RATE CASE</v>
      </c>
      <c r="C4" s="418"/>
    </row>
    <row r="5" spans="1:48" x14ac:dyDescent="0.25">
      <c r="A5" s="418" t="str">
        <f>TESTYEAR_GAS</f>
        <v>12 MONTHS ENDED DECEMBER 31, 2018</v>
      </c>
      <c r="C5" s="418"/>
      <c r="W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</row>
    <row r="6" spans="1:48" x14ac:dyDescent="0.25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Z6" s="319" t="s">
        <v>158</v>
      </c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421" t="s">
        <v>245</v>
      </c>
      <c r="AT6" s="421" t="s">
        <v>245</v>
      </c>
    </row>
    <row r="7" spans="1:48" x14ac:dyDescent="0.25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422"/>
      <c r="Y7" s="422"/>
      <c r="Z7" s="320" t="s">
        <v>78</v>
      </c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</row>
    <row r="8" spans="1:48" x14ac:dyDescent="0.25">
      <c r="L8" s="280" t="s">
        <v>271</v>
      </c>
      <c r="M8" s="280" t="s">
        <v>271</v>
      </c>
      <c r="U8" s="282"/>
      <c r="AC8" s="280" t="s">
        <v>271</v>
      </c>
      <c r="AD8" s="280" t="s">
        <v>271</v>
      </c>
    </row>
    <row r="9" spans="1:48" ht="15" customHeight="1" x14ac:dyDescent="0.25">
      <c r="C9" s="282" t="s">
        <v>33</v>
      </c>
      <c r="D9" s="321">
        <v>6.01</v>
      </c>
      <c r="E9" s="321">
        <f>+D9+0.01</f>
        <v>6.02</v>
      </c>
      <c r="F9" s="321">
        <f>+E9+0.01</f>
        <v>6.0299999999999994</v>
      </c>
      <c r="G9" s="321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321">
        <v>6.18</v>
      </c>
      <c r="V9" s="321">
        <v>6.19</v>
      </c>
      <c r="W9" s="321">
        <v>6.23</v>
      </c>
      <c r="X9" s="423" t="s">
        <v>54</v>
      </c>
      <c r="Y9" s="423" t="s">
        <v>82</v>
      </c>
      <c r="Z9" s="322">
        <f>+D9</f>
        <v>6.01</v>
      </c>
      <c r="AA9" s="322">
        <f>+E9</f>
        <v>6.02</v>
      </c>
      <c r="AB9" s="322">
        <f>+G9</f>
        <v>6.0399999999999991</v>
      </c>
      <c r="AC9" s="322">
        <f>+L9</f>
        <v>6.0899999999999981</v>
      </c>
      <c r="AD9" s="322">
        <f>+M9</f>
        <v>6.0999999999999979</v>
      </c>
      <c r="AE9" s="322">
        <v>6.14</v>
      </c>
      <c r="AF9" s="322">
        <v>6.15</v>
      </c>
      <c r="AG9" s="322">
        <v>6.16</v>
      </c>
      <c r="AH9" s="322">
        <f>+AG9+0.01</f>
        <v>6.17</v>
      </c>
      <c r="AI9" s="322">
        <v>6.2</v>
      </c>
      <c r="AJ9" s="322">
        <v>6.21</v>
      </c>
      <c r="AK9" s="322">
        <f t="shared" ref="AK9:AR9" si="1">+AJ9+0.01</f>
        <v>6.22</v>
      </c>
      <c r="AL9" s="322">
        <f t="shared" si="1"/>
        <v>6.2299999999999995</v>
      </c>
      <c r="AM9" s="322">
        <f t="shared" si="1"/>
        <v>6.2399999999999993</v>
      </c>
      <c r="AN9" s="322">
        <f t="shared" si="1"/>
        <v>6.2499999999999991</v>
      </c>
      <c r="AO9" s="322">
        <f t="shared" si="1"/>
        <v>6.2599999999999989</v>
      </c>
      <c r="AP9" s="322">
        <f t="shared" si="1"/>
        <v>6.2699999999999987</v>
      </c>
      <c r="AQ9" s="322">
        <f t="shared" si="1"/>
        <v>6.2799999999999985</v>
      </c>
      <c r="AR9" s="322">
        <f t="shared" si="1"/>
        <v>6.2899999999999983</v>
      </c>
      <c r="AS9" s="322" t="s">
        <v>424</v>
      </c>
      <c r="AT9" s="322" t="s">
        <v>426</v>
      </c>
      <c r="AU9" s="424" t="s">
        <v>54</v>
      </c>
      <c r="AV9" s="424" t="s">
        <v>181</v>
      </c>
    </row>
    <row r="10" spans="1:48" ht="15" customHeight="1" x14ac:dyDescent="0.25">
      <c r="A10" s="282" t="s">
        <v>36</v>
      </c>
      <c r="B10" s="282" t="s">
        <v>60</v>
      </c>
      <c r="C10" s="282" t="s">
        <v>34</v>
      </c>
      <c r="D10" s="282" t="s">
        <v>39</v>
      </c>
      <c r="E10" s="282" t="s">
        <v>216</v>
      </c>
      <c r="F10" s="282" t="s">
        <v>40</v>
      </c>
      <c r="G10" s="282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484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282" t="s">
        <v>225</v>
      </c>
      <c r="V10" s="282" t="s">
        <v>225</v>
      </c>
      <c r="W10" s="282" t="s">
        <v>226</v>
      </c>
      <c r="X10" s="425" t="s">
        <v>179</v>
      </c>
      <c r="Y10" s="425" t="s">
        <v>34</v>
      </c>
      <c r="Z10" s="282" t="s">
        <v>39</v>
      </c>
      <c r="AA10" s="282" t="s">
        <v>216</v>
      </c>
      <c r="AB10" s="282" t="s">
        <v>487</v>
      </c>
      <c r="AC10" s="282" t="s">
        <v>222</v>
      </c>
      <c r="AD10" s="282" t="s">
        <v>44</v>
      </c>
      <c r="AE10" s="282" t="s">
        <v>45</v>
      </c>
      <c r="AF10" s="282" t="s">
        <v>46</v>
      </c>
      <c r="AG10" s="282" t="s">
        <v>47</v>
      </c>
      <c r="AH10" s="282" t="s">
        <v>48</v>
      </c>
      <c r="AI10" s="282" t="s">
        <v>488</v>
      </c>
      <c r="AJ10" s="282" t="s">
        <v>238</v>
      </c>
      <c r="AK10" s="4"/>
      <c r="AL10" s="282" t="s">
        <v>226</v>
      </c>
      <c r="AM10" s="282"/>
      <c r="AN10" s="282" t="s">
        <v>227</v>
      </c>
      <c r="AO10" s="282" t="s">
        <v>317</v>
      </c>
      <c r="AP10" s="282" t="s">
        <v>319</v>
      </c>
      <c r="AQ10" s="282" t="s">
        <v>350</v>
      </c>
      <c r="AR10" s="282"/>
      <c r="AS10" s="282" t="s">
        <v>422</v>
      </c>
      <c r="AT10" s="282" t="s">
        <v>425</v>
      </c>
      <c r="AU10" s="425" t="s">
        <v>180</v>
      </c>
      <c r="AV10" s="425" t="s">
        <v>34</v>
      </c>
    </row>
    <row r="11" spans="1:48" ht="15" customHeight="1" x14ac:dyDescent="0.25">
      <c r="A11" s="282" t="s">
        <v>37</v>
      </c>
      <c r="C11" s="282" t="s">
        <v>35</v>
      </c>
      <c r="D11" s="282" t="s">
        <v>42</v>
      </c>
      <c r="E11" s="282" t="s">
        <v>228</v>
      </c>
      <c r="F11" s="324" t="s">
        <v>43</v>
      </c>
      <c r="G11" s="324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485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282" t="s">
        <v>61</v>
      </c>
      <c r="V11" s="282" t="s">
        <v>13</v>
      </c>
      <c r="W11" s="282" t="s">
        <v>235</v>
      </c>
      <c r="X11" s="425" t="s">
        <v>57</v>
      </c>
      <c r="Y11" s="425" t="s">
        <v>59</v>
      </c>
      <c r="Z11" s="282" t="s">
        <v>42</v>
      </c>
      <c r="AA11" s="282" t="s">
        <v>228</v>
      </c>
      <c r="AB11" s="324" t="s">
        <v>486</v>
      </c>
      <c r="AC11" s="324" t="s">
        <v>233</v>
      </c>
      <c r="AD11" s="324" t="s">
        <v>49</v>
      </c>
      <c r="AE11" s="325" t="s">
        <v>51</v>
      </c>
      <c r="AF11" s="282" t="s">
        <v>53</v>
      </c>
      <c r="AG11" s="282" t="s">
        <v>52</v>
      </c>
      <c r="AH11" s="282" t="s">
        <v>49</v>
      </c>
      <c r="AI11" s="282" t="s">
        <v>50</v>
      </c>
      <c r="AJ11" s="282" t="s">
        <v>159</v>
      </c>
      <c r="AK11" s="282" t="s">
        <v>185</v>
      </c>
      <c r="AL11" s="282" t="s">
        <v>235</v>
      </c>
      <c r="AM11" s="282" t="s">
        <v>273</v>
      </c>
      <c r="AN11" s="282" t="s">
        <v>236</v>
      </c>
      <c r="AO11" s="282" t="s">
        <v>318</v>
      </c>
      <c r="AP11" s="282" t="s">
        <v>320</v>
      </c>
      <c r="AQ11" s="282" t="s">
        <v>351</v>
      </c>
      <c r="AR11" s="282" t="s">
        <v>401</v>
      </c>
      <c r="AS11" s="282" t="s">
        <v>423</v>
      </c>
      <c r="AT11" s="282" t="s">
        <v>272</v>
      </c>
      <c r="AU11" s="425" t="s">
        <v>57</v>
      </c>
      <c r="AV11" s="425" t="s">
        <v>59</v>
      </c>
    </row>
    <row r="12" spans="1:48" x14ac:dyDescent="0.25">
      <c r="C12" s="285" t="s">
        <v>197</v>
      </c>
      <c r="D12" s="281" t="s">
        <v>198</v>
      </c>
      <c r="E12" s="281" t="s">
        <v>496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321</v>
      </c>
      <c r="R12" s="281" t="s">
        <v>322</v>
      </c>
      <c r="S12" s="281" t="s">
        <v>323</v>
      </c>
      <c r="T12" s="281" t="s">
        <v>324</v>
      </c>
      <c r="U12" s="281" t="s">
        <v>325</v>
      </c>
      <c r="V12" s="281" t="s">
        <v>326</v>
      </c>
      <c r="W12" s="281" t="s">
        <v>439</v>
      </c>
      <c r="X12" s="426" t="s">
        <v>440</v>
      </c>
      <c r="Y12" s="426" t="s">
        <v>441</v>
      </c>
      <c r="Z12" s="281" t="s">
        <v>210</v>
      </c>
      <c r="AA12" s="281" t="s">
        <v>211</v>
      </c>
      <c r="AB12" s="281" t="s">
        <v>212</v>
      </c>
      <c r="AC12" s="281" t="s">
        <v>327</v>
      </c>
      <c r="AD12" s="281" t="s">
        <v>328</v>
      </c>
      <c r="AE12" s="281" t="s">
        <v>329</v>
      </c>
      <c r="AF12" s="281" t="s">
        <v>330</v>
      </c>
      <c r="AG12" s="281" t="s">
        <v>331</v>
      </c>
      <c r="AH12" s="281" t="s">
        <v>332</v>
      </c>
      <c r="AI12" s="281" t="s">
        <v>333</v>
      </c>
      <c r="AJ12" s="281" t="s">
        <v>335</v>
      </c>
      <c r="AK12" s="281" t="s">
        <v>336</v>
      </c>
      <c r="AL12" s="281" t="s">
        <v>334</v>
      </c>
      <c r="AM12" s="281" t="s">
        <v>337</v>
      </c>
      <c r="AN12" s="281" t="s">
        <v>338</v>
      </c>
      <c r="AO12" s="281" t="s">
        <v>213</v>
      </c>
      <c r="AP12" s="281" t="s">
        <v>442</v>
      </c>
      <c r="AQ12" s="281" t="s">
        <v>214</v>
      </c>
      <c r="AR12" s="281" t="s">
        <v>215</v>
      </c>
      <c r="AS12" s="281" t="s">
        <v>497</v>
      </c>
      <c r="AT12" s="281" t="s">
        <v>443</v>
      </c>
      <c r="AU12" s="426" t="s">
        <v>498</v>
      </c>
      <c r="AV12" s="426" t="s">
        <v>521</v>
      </c>
    </row>
    <row r="13" spans="1:48" x14ac:dyDescent="0.25">
      <c r="A13" s="285">
        <v>1</v>
      </c>
      <c r="B13" s="286" t="s">
        <v>0</v>
      </c>
      <c r="X13" s="427"/>
      <c r="Y13" s="427"/>
      <c r="AT13" s="293"/>
      <c r="AU13" s="427"/>
      <c r="AV13" s="427"/>
    </row>
    <row r="14" spans="1:48" x14ac:dyDescent="0.25">
      <c r="A14" s="285">
        <f t="shared" ref="A14:A45" si="2">A13+1</f>
        <v>2</v>
      </c>
      <c r="B14" s="286" t="s">
        <v>1</v>
      </c>
      <c r="C14" s="287">
        <f>+'[5]Allocated (CBR)'!$C$9</f>
        <v>876657675.66999984</v>
      </c>
      <c r="D14" s="287">
        <f>+'Common Adj'!F20</f>
        <v>-47098325.766164944</v>
      </c>
      <c r="E14" s="287">
        <f>'Common Adj'!N19</f>
        <v>42375.32993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428">
        <f>SUM(D14:W14)</f>
        <v>-152892006.21581638</v>
      </c>
      <c r="Y14" s="428">
        <f>+X14+C14</f>
        <v>723765669.45418346</v>
      </c>
      <c r="Z14" s="287">
        <f>'Common Adj'!H20</f>
        <v>50971.28</v>
      </c>
      <c r="AA14" s="287">
        <f>+'Common Adj'!P19</f>
        <v>35122048.636059925</v>
      </c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>
        <f>'Gas Adj'!Q15</f>
        <v>-6980521.1700718822</v>
      </c>
      <c r="AU14" s="428">
        <f>SUM(Z14:AT14)</f>
        <v>28192498.745988045</v>
      </c>
      <c r="AV14" s="428">
        <f>+AU14+Y14</f>
        <v>751958168.20017147</v>
      </c>
    </row>
    <row r="15" spans="1:48" x14ac:dyDescent="0.25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430">
        <f>SUM(D15:W15)</f>
        <v>0</v>
      </c>
      <c r="Y15" s="430">
        <f>+X15+C15</f>
        <v>0</v>
      </c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430">
        <f>SUM(Z15:AT15)</f>
        <v>0</v>
      </c>
      <c r="AV15" s="430">
        <f>+AU15+Y15</f>
        <v>0</v>
      </c>
    </row>
    <row r="16" spans="1:48" x14ac:dyDescent="0.25">
      <c r="A16" s="285">
        <f t="shared" si="2"/>
        <v>4</v>
      </c>
      <c r="B16" s="286" t="s">
        <v>2</v>
      </c>
      <c r="C16" s="288">
        <f>+'[5]Allocated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430">
        <f>SUM(D16:W16)</f>
        <v>46115261.559999995</v>
      </c>
      <c r="Y16" s="430">
        <f>+X16+C16</f>
        <v>20205262.979999997</v>
      </c>
      <c r="Z16" s="288">
        <f>+'Common Adj'!H29</f>
        <v>-9854969.0099999998</v>
      </c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430">
        <f>SUM(Z16:AT16)</f>
        <v>-9854969.0099999998</v>
      </c>
      <c r="AV16" s="430">
        <f>+AU16+Y16</f>
        <v>10350293.969999997</v>
      </c>
    </row>
    <row r="17" spans="1:57" x14ac:dyDescent="0.25">
      <c r="A17" s="285">
        <f t="shared" si="2"/>
        <v>5</v>
      </c>
      <c r="B17" s="286" t="s">
        <v>3</v>
      </c>
      <c r="C17" s="289">
        <f t="shared" ref="C17:AC17" si="3">SUM(C14:C16)</f>
        <v>850747677.08999979</v>
      </c>
      <c r="D17" s="289">
        <f t="shared" si="3"/>
        <v>-44406847.206164941</v>
      </c>
      <c r="E17" s="289">
        <f>SUM(E14:E16)</f>
        <v>42375.32993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31">
        <f t="shared" si="3"/>
        <v>-106776744.65581638</v>
      </c>
      <c r="Y17" s="431">
        <f t="shared" si="3"/>
        <v>743970932.43418348</v>
      </c>
      <c r="Z17" s="289">
        <f t="shared" ref="Z17" si="4">SUM(Z14:Z16)</f>
        <v>-9803997.7300000004</v>
      </c>
      <c r="AA17" s="289">
        <f>SUM(AA14:AA16)</f>
        <v>35122048.636059925</v>
      </c>
      <c r="AB17" s="289">
        <f t="shared" si="3"/>
        <v>0</v>
      </c>
      <c r="AC17" s="289">
        <f t="shared" si="3"/>
        <v>0</v>
      </c>
      <c r="AD17" s="289">
        <f t="shared" ref="AD17:AV17" si="5">SUM(AD14:AD16)</f>
        <v>0</v>
      </c>
      <c r="AE17" s="289">
        <f t="shared" si="5"/>
        <v>0</v>
      </c>
      <c r="AF17" s="289">
        <f t="shared" si="5"/>
        <v>0</v>
      </c>
      <c r="AG17" s="289">
        <f t="shared" si="5"/>
        <v>0</v>
      </c>
      <c r="AH17" s="289">
        <f t="shared" si="5"/>
        <v>0</v>
      </c>
      <c r="AI17" s="289">
        <f>SUM(AI14:AI16)</f>
        <v>0</v>
      </c>
      <c r="AJ17" s="289">
        <f t="shared" si="5"/>
        <v>0</v>
      </c>
      <c r="AK17" s="289">
        <f t="shared" si="5"/>
        <v>0</v>
      </c>
      <c r="AL17" s="289">
        <f t="shared" si="5"/>
        <v>0</v>
      </c>
      <c r="AM17" s="289">
        <f t="shared" si="5"/>
        <v>0</v>
      </c>
      <c r="AN17" s="289">
        <f t="shared" si="5"/>
        <v>0</v>
      </c>
      <c r="AO17" s="289">
        <f t="shared" si="5"/>
        <v>0</v>
      </c>
      <c r="AP17" s="289">
        <f t="shared" si="5"/>
        <v>0</v>
      </c>
      <c r="AQ17" s="289">
        <f t="shared" si="5"/>
        <v>0</v>
      </c>
      <c r="AR17" s="289">
        <f t="shared" ref="AR17:AS17" si="6">SUM(AR14:AR16)</f>
        <v>0</v>
      </c>
      <c r="AS17" s="289">
        <f t="shared" si="6"/>
        <v>0</v>
      </c>
      <c r="AT17" s="289">
        <f t="shared" si="5"/>
        <v>-6980521.1700718822</v>
      </c>
      <c r="AU17" s="431">
        <f t="shared" si="5"/>
        <v>18337529.735988043</v>
      </c>
      <c r="AV17" s="431">
        <f t="shared" si="5"/>
        <v>762308462.1701715</v>
      </c>
    </row>
    <row r="18" spans="1:57" s="432" customFormat="1" x14ac:dyDescent="0.25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430"/>
      <c r="Y18" s="430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430"/>
      <c r="AV18" s="430"/>
      <c r="AW18" s="280"/>
      <c r="AX18" s="280"/>
      <c r="AY18" s="280"/>
      <c r="AZ18" s="280"/>
      <c r="BA18" s="280"/>
      <c r="BB18" s="280"/>
      <c r="BC18" s="280"/>
      <c r="BD18" s="280"/>
      <c r="BE18" s="280"/>
    </row>
    <row r="19" spans="1:57" x14ac:dyDescent="0.25">
      <c r="A19" s="285">
        <f t="shared" si="2"/>
        <v>7</v>
      </c>
      <c r="B19" s="286" t="s">
        <v>4</v>
      </c>
      <c r="X19" s="427"/>
      <c r="Y19" s="427"/>
      <c r="AU19" s="427"/>
      <c r="AV19" s="427"/>
    </row>
    <row r="20" spans="1:57" x14ac:dyDescent="0.25">
      <c r="A20" s="285">
        <f t="shared" si="2"/>
        <v>8</v>
      </c>
      <c r="B20" s="292"/>
      <c r="X20" s="427"/>
      <c r="Y20" s="427"/>
      <c r="AU20" s="427"/>
      <c r="AV20" s="427"/>
    </row>
    <row r="21" spans="1:57" x14ac:dyDescent="0.25">
      <c r="A21" s="285">
        <f t="shared" si="2"/>
        <v>9</v>
      </c>
      <c r="B21" s="286" t="s">
        <v>247</v>
      </c>
      <c r="C21" s="287"/>
      <c r="X21" s="427"/>
      <c r="Y21" s="427"/>
      <c r="AU21" s="427"/>
      <c r="AV21" s="427"/>
    </row>
    <row r="22" spans="1:57" x14ac:dyDescent="0.25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429">
        <f>SUM(D22:W22)</f>
        <v>0</v>
      </c>
      <c r="Y22" s="429">
        <f>+X22+C22</f>
        <v>0</v>
      </c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429">
        <f>SUM(Z22:AT22)</f>
        <v>0</v>
      </c>
      <c r="AV22" s="429">
        <f>+AU22+Y22</f>
        <v>0</v>
      </c>
    </row>
    <row r="23" spans="1:57" x14ac:dyDescent="0.25">
      <c r="A23" s="285">
        <f t="shared" si="2"/>
        <v>11</v>
      </c>
      <c r="B23" s="286" t="s">
        <v>248</v>
      </c>
      <c r="C23" s="293">
        <f>+'[5]Allocated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430">
        <f>SUM(D23:W23)</f>
        <v>-20106832.814327635</v>
      </c>
      <c r="Y23" s="430">
        <f>+X23+C23</f>
        <v>276592219.24567121</v>
      </c>
      <c r="Z23" s="288"/>
      <c r="AA23" s="288">
        <f>+'Common Adj'!P21</f>
        <v>16597941.863750041</v>
      </c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430">
        <f>SUM(Z23:AT23)</f>
        <v>16597941.863750041</v>
      </c>
      <c r="AV23" s="430">
        <f>+AU23+Y23</f>
        <v>293190161.10942125</v>
      </c>
    </row>
    <row r="24" spans="1:57" x14ac:dyDescent="0.25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430">
        <f>SUM(D24:W24)</f>
        <v>0</v>
      </c>
      <c r="Y24" s="430">
        <f>+X24+C24</f>
        <v>0</v>
      </c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430">
        <f>SUM(Z24:AT24)</f>
        <v>0</v>
      </c>
      <c r="AV24" s="430">
        <f>+AU24+Y24</f>
        <v>0</v>
      </c>
    </row>
    <row r="25" spans="1:57" x14ac:dyDescent="0.25">
      <c r="A25" s="285">
        <f t="shared" si="2"/>
        <v>13</v>
      </c>
      <c r="B25" s="286" t="s">
        <v>5</v>
      </c>
      <c r="C25" s="296">
        <f t="shared" ref="C25:AC25" si="7">SUM(C21:C24)</f>
        <v>296699052.05999887</v>
      </c>
      <c r="D25" s="296">
        <f t="shared" si="7"/>
        <v>-43597128.774327636</v>
      </c>
      <c r="E25" s="296">
        <f>SUM(E21:E24)</f>
        <v>0</v>
      </c>
      <c r="F25" s="296">
        <f t="shared" si="7"/>
        <v>0</v>
      </c>
      <c r="G25" s="296">
        <f t="shared" si="7"/>
        <v>0</v>
      </c>
      <c r="H25" s="296">
        <f t="shared" si="7"/>
        <v>23490295.960000001</v>
      </c>
      <c r="I25" s="296">
        <f t="shared" si="7"/>
        <v>0</v>
      </c>
      <c r="J25" s="296">
        <f t="shared" si="7"/>
        <v>0</v>
      </c>
      <c r="K25" s="296">
        <f t="shared" si="7"/>
        <v>0</v>
      </c>
      <c r="L25" s="296">
        <f t="shared" si="7"/>
        <v>0</v>
      </c>
      <c r="M25" s="296">
        <f t="shared" si="7"/>
        <v>0</v>
      </c>
      <c r="N25" s="296">
        <f t="shared" si="7"/>
        <v>0</v>
      </c>
      <c r="O25" s="296">
        <f t="shared" si="7"/>
        <v>0</v>
      </c>
      <c r="P25" s="296">
        <f t="shared" si="7"/>
        <v>0</v>
      </c>
      <c r="Q25" s="296">
        <f t="shared" si="7"/>
        <v>0</v>
      </c>
      <c r="R25" s="296">
        <f t="shared" si="7"/>
        <v>0</v>
      </c>
      <c r="S25" s="296">
        <f t="shared" si="7"/>
        <v>0</v>
      </c>
      <c r="T25" s="296">
        <f t="shared" si="7"/>
        <v>0</v>
      </c>
      <c r="U25" s="296">
        <f t="shared" si="7"/>
        <v>0</v>
      </c>
      <c r="V25" s="296">
        <f t="shared" si="7"/>
        <v>0</v>
      </c>
      <c r="W25" s="296">
        <f t="shared" si="7"/>
        <v>0</v>
      </c>
      <c r="X25" s="433">
        <f t="shared" si="7"/>
        <v>-20106832.814327635</v>
      </c>
      <c r="Y25" s="433">
        <f t="shared" si="7"/>
        <v>276592219.24567121</v>
      </c>
      <c r="Z25" s="296">
        <f t="shared" ref="Z25" si="8">SUM(Z21:Z24)</f>
        <v>0</v>
      </c>
      <c r="AA25" s="296">
        <f>SUM(AA21:AA24)</f>
        <v>16597941.863750041</v>
      </c>
      <c r="AB25" s="296">
        <f t="shared" si="7"/>
        <v>0</v>
      </c>
      <c r="AC25" s="296">
        <f t="shared" si="7"/>
        <v>0</v>
      </c>
      <c r="AD25" s="296">
        <f t="shared" ref="AD25:AV25" si="9">SUM(AD21:AD24)</f>
        <v>0</v>
      </c>
      <c r="AE25" s="296">
        <f t="shared" si="9"/>
        <v>0</v>
      </c>
      <c r="AF25" s="296">
        <f t="shared" si="9"/>
        <v>0</v>
      </c>
      <c r="AG25" s="296">
        <f t="shared" si="9"/>
        <v>0</v>
      </c>
      <c r="AH25" s="296">
        <f t="shared" si="9"/>
        <v>0</v>
      </c>
      <c r="AI25" s="296">
        <f>SUM(AI21:AI24)</f>
        <v>0</v>
      </c>
      <c r="AJ25" s="296">
        <f t="shared" si="9"/>
        <v>0</v>
      </c>
      <c r="AK25" s="296">
        <f t="shared" si="9"/>
        <v>0</v>
      </c>
      <c r="AL25" s="296">
        <f t="shared" si="9"/>
        <v>0</v>
      </c>
      <c r="AM25" s="296">
        <f t="shared" si="9"/>
        <v>0</v>
      </c>
      <c r="AN25" s="296">
        <f t="shared" si="9"/>
        <v>0</v>
      </c>
      <c r="AO25" s="296">
        <f t="shared" si="9"/>
        <v>0</v>
      </c>
      <c r="AP25" s="296">
        <f t="shared" si="9"/>
        <v>0</v>
      </c>
      <c r="AQ25" s="296">
        <f t="shared" si="9"/>
        <v>0</v>
      </c>
      <c r="AR25" s="296">
        <f t="shared" ref="AR25" si="10">SUM(AR21:AR24)</f>
        <v>0</v>
      </c>
      <c r="AS25" s="329"/>
      <c r="AT25" s="296">
        <f t="shared" si="9"/>
        <v>0</v>
      </c>
      <c r="AU25" s="433">
        <f t="shared" si="9"/>
        <v>16597941.863750041</v>
      </c>
      <c r="AV25" s="433">
        <f t="shared" si="9"/>
        <v>293190161.10942125</v>
      </c>
    </row>
    <row r="26" spans="1:57" x14ac:dyDescent="0.25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429"/>
      <c r="Y26" s="429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429"/>
      <c r="AV26" s="429"/>
    </row>
    <row r="27" spans="1:57" x14ac:dyDescent="0.25">
      <c r="A27" s="285">
        <f t="shared" si="2"/>
        <v>15</v>
      </c>
      <c r="B27" s="298" t="s">
        <v>6</v>
      </c>
      <c r="C27" s="293">
        <f>+'[5]Allocated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430">
        <f t="shared" ref="X27:X41" si="11">SUM(D27:W27)</f>
        <v>18583.731398664269</v>
      </c>
      <c r="Y27" s="429">
        <f t="shared" ref="Y27:Y41" si="12">+X27+C27</f>
        <v>6061388.8613986634</v>
      </c>
      <c r="Z27" s="293"/>
      <c r="AA27" s="293"/>
      <c r="AB27" s="293"/>
      <c r="AC27" s="293"/>
      <c r="AD27" s="293"/>
      <c r="AE27" s="293"/>
      <c r="AF27" s="288">
        <f>+'Common Adj'!DQ15+'Common Adj'!DQ16+'Common Adj'!DQ17</f>
        <v>110731.68203954893</v>
      </c>
      <c r="AG27" s="288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>
        <f>'Common Adj'!HQ14</f>
        <v>44.329999999999927</v>
      </c>
      <c r="AR27" s="293"/>
      <c r="AS27" s="293"/>
      <c r="AT27" s="293"/>
      <c r="AU27" s="430">
        <f t="shared" ref="AU27:AU41" si="13">SUM(Z27:AT27)</f>
        <v>110776.01203954894</v>
      </c>
      <c r="AV27" s="429">
        <f t="shared" ref="AV27:AV41" si="14">+AU27+Y27</f>
        <v>6172164.8734382121</v>
      </c>
    </row>
    <row r="28" spans="1:57" x14ac:dyDescent="0.25">
      <c r="A28" s="285">
        <f t="shared" si="2"/>
        <v>16</v>
      </c>
      <c r="B28" s="286" t="s">
        <v>7</v>
      </c>
      <c r="C28" s="331">
        <f>+'[5]Allocated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430">
        <f t="shared" si="11"/>
        <v>0</v>
      </c>
      <c r="Y28" s="430">
        <f t="shared" si="12"/>
        <v>2110.77</v>
      </c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>
        <f>'Common Adj'!HQ15</f>
        <v>57.75</v>
      </c>
      <c r="AR28" s="288"/>
      <c r="AS28" s="288"/>
      <c r="AT28" s="288"/>
      <c r="AU28" s="430">
        <f t="shared" si="13"/>
        <v>57.75</v>
      </c>
      <c r="AV28" s="430">
        <f t="shared" si="14"/>
        <v>2168.52</v>
      </c>
    </row>
    <row r="29" spans="1:57" x14ac:dyDescent="0.25">
      <c r="A29" s="285">
        <f t="shared" si="2"/>
        <v>17</v>
      </c>
      <c r="B29" s="286" t="s">
        <v>8</v>
      </c>
      <c r="C29" s="331">
        <f>+'[5]Allocated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430">
        <f t="shared" si="11"/>
        <v>523457.26844154485</v>
      </c>
      <c r="Y29" s="430">
        <f t="shared" si="12"/>
        <v>60697625.368441522</v>
      </c>
      <c r="Z29" s="288"/>
      <c r="AA29" s="288"/>
      <c r="AB29" s="288"/>
      <c r="AC29" s="288"/>
      <c r="AD29" s="288"/>
      <c r="AE29" s="288"/>
      <c r="AF29" s="288">
        <f>+'Common Adj'!DQ19</f>
        <v>1350205.8821382411</v>
      </c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>
        <f>'Common Adj'!HQ16</f>
        <v>278617.51000000164</v>
      </c>
      <c r="AR29" s="288"/>
      <c r="AS29" s="288"/>
      <c r="AT29" s="288"/>
      <c r="AU29" s="430">
        <f t="shared" si="13"/>
        <v>1628823.3921382427</v>
      </c>
      <c r="AV29" s="430">
        <f t="shared" si="14"/>
        <v>62326448.760579765</v>
      </c>
    </row>
    <row r="30" spans="1:57" x14ac:dyDescent="0.25">
      <c r="A30" s="285">
        <f t="shared" si="2"/>
        <v>18</v>
      </c>
      <c r="B30" s="286" t="s">
        <v>9</v>
      </c>
      <c r="C30" s="331">
        <f>+'[5]Allocated (CBR)'!C27</f>
        <v>29807451.619999997</v>
      </c>
      <c r="D30" s="288">
        <f>+'Common Adj'!F38</f>
        <v>-227540.68508438917</v>
      </c>
      <c r="E30" s="288">
        <f>+'Common Adj'!N24</f>
        <v>217.13119056131836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430">
        <f t="shared" si="11"/>
        <v>-141418.02794167335</v>
      </c>
      <c r="Y30" s="430">
        <f t="shared" si="12"/>
        <v>29666033.592058323</v>
      </c>
      <c r="Z30" s="288">
        <f>+'Common Adj'!H38</f>
        <v>-50235.68436852</v>
      </c>
      <c r="AA30" s="288">
        <f>+'Common Adj'!P24</f>
        <v>179965.37721117106</v>
      </c>
      <c r="AB30" s="288"/>
      <c r="AC30" s="288"/>
      <c r="AD30" s="288">
        <f>-M30</f>
        <v>0</v>
      </c>
      <c r="AE30" s="288"/>
      <c r="AF30" s="288">
        <f>+'Common Adj'!DQ20</f>
        <v>274377.34146429319</v>
      </c>
      <c r="AG30" s="288"/>
      <c r="AH30" s="288"/>
      <c r="AI30" s="288"/>
      <c r="AJ30" s="288"/>
      <c r="AK30" s="288"/>
      <c r="AL30" s="288"/>
      <c r="AM30" s="288"/>
      <c r="AN30" s="288">
        <f>'Common Adj'!GS15</f>
        <v>-435567.581275</v>
      </c>
      <c r="AO30" s="288"/>
      <c r="AP30" s="288"/>
      <c r="AQ30" s="288">
        <f>'Common Adj'!HQ17</f>
        <v>105258.47999999952</v>
      </c>
      <c r="AR30" s="288"/>
      <c r="AS30" s="288"/>
      <c r="AT30" s="288">
        <f>'Gas Adj'!Q22</f>
        <v>-35768.190475448326</v>
      </c>
      <c r="AU30" s="430">
        <f t="shared" si="13"/>
        <v>38029.742556495417</v>
      </c>
      <c r="AV30" s="430">
        <f t="shared" si="14"/>
        <v>29704063.334614817</v>
      </c>
    </row>
    <row r="31" spans="1:57" x14ac:dyDescent="0.25">
      <c r="A31" s="285">
        <f t="shared" si="2"/>
        <v>19</v>
      </c>
      <c r="B31" s="286" t="s">
        <v>10</v>
      </c>
      <c r="C31" s="331">
        <f>+'[5]Allocated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430">
        <f t="shared" si="11"/>
        <v>-4811195.0053552855</v>
      </c>
      <c r="Y31" s="430">
        <f t="shared" si="12"/>
        <v>1763236.0746447137</v>
      </c>
      <c r="Z31" s="288"/>
      <c r="AA31" s="288"/>
      <c r="AB31" s="288"/>
      <c r="AC31" s="288"/>
      <c r="AD31" s="288"/>
      <c r="AE31" s="288"/>
      <c r="AF31" s="288">
        <f>+'Common Adj'!DQ21</f>
        <v>31612.10595257883</v>
      </c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430">
        <f t="shared" si="13"/>
        <v>31612.10595257883</v>
      </c>
      <c r="AV31" s="430">
        <f t="shared" si="14"/>
        <v>1794848.1805972925</v>
      </c>
    </row>
    <row r="32" spans="1:57" x14ac:dyDescent="0.25">
      <c r="A32" s="285">
        <f t="shared" si="2"/>
        <v>20</v>
      </c>
      <c r="B32" s="286" t="s">
        <v>11</v>
      </c>
      <c r="C32" s="331">
        <f>+'[5]Allocated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430">
        <f t="shared" si="11"/>
        <v>-14625833.34</v>
      </c>
      <c r="Y32" s="430">
        <f t="shared" si="12"/>
        <v>0</v>
      </c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430">
        <f t="shared" si="13"/>
        <v>0</v>
      </c>
      <c r="AV32" s="430">
        <f t="shared" si="14"/>
        <v>0</v>
      </c>
    </row>
    <row r="33" spans="1:48" x14ac:dyDescent="0.25">
      <c r="A33" s="285">
        <f t="shared" si="2"/>
        <v>21</v>
      </c>
      <c r="B33" s="286" t="s">
        <v>12</v>
      </c>
      <c r="C33" s="331">
        <f>+'[5]Allocated (CBR)'!C30</f>
        <v>57249534.549999997</v>
      </c>
      <c r="D33" s="288">
        <f>+'Common Adj'!F39</f>
        <v>-88813.694412329889</v>
      </c>
      <c r="E33" s="288">
        <f>+'Common Adj'!N25</f>
        <v>84.750659859999359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430">
        <f t="shared" si="11"/>
        <v>2450850.0361398165</v>
      </c>
      <c r="Y33" s="430">
        <f t="shared" si="12"/>
        <v>59700384.586139813</v>
      </c>
      <c r="Z33" s="288">
        <f>+'Common Adj'!H39</f>
        <v>-19607.995460000002</v>
      </c>
      <c r="AA33" s="288">
        <f>+'Common Adj'!P25</f>
        <v>70244.097272119863</v>
      </c>
      <c r="AB33" s="288"/>
      <c r="AC33" s="288">
        <f>+'Common Adj'!BU15</f>
        <v>-54197.611339999828</v>
      </c>
      <c r="AD33" s="288">
        <f>+'Common Adj'!CC18</f>
        <v>4849.3982530915964</v>
      </c>
      <c r="AE33" s="288">
        <f>'Common Adj'!DI16</f>
        <v>30987.620973575831</v>
      </c>
      <c r="AF33" s="288">
        <f>+'Common Adj'!DQ23</f>
        <v>552918.51170147955</v>
      </c>
      <c r="AG33" s="288">
        <f>+'Common Adj'!DY26</f>
        <v>117536.2105541807</v>
      </c>
      <c r="AH33" s="288">
        <f>'Common Adj'!EG19</f>
        <v>390546.4051953943</v>
      </c>
      <c r="AI33" s="288"/>
      <c r="AJ33" s="288"/>
      <c r="AK33" s="288"/>
      <c r="AL33" s="288">
        <f>+'Common Adj'!GC29</f>
        <v>-169824.88682564982</v>
      </c>
      <c r="AM33" s="288"/>
      <c r="AN33" s="288"/>
      <c r="AO33" s="288"/>
      <c r="AP33" s="288"/>
      <c r="AQ33" s="288">
        <f>'Common Adj'!HQ18</f>
        <v>600.87663299999986</v>
      </c>
      <c r="AR33" s="288"/>
      <c r="AS33" s="288"/>
      <c r="AT33" s="288">
        <f>'Gas Adj'!Q23</f>
        <v>-13961.042340143764</v>
      </c>
      <c r="AU33" s="430">
        <f t="shared" si="13"/>
        <v>910091.58461704839</v>
      </c>
      <c r="AV33" s="430">
        <f t="shared" si="14"/>
        <v>60610476.170756862</v>
      </c>
    </row>
    <row r="34" spans="1:48" x14ac:dyDescent="0.25">
      <c r="A34" s="285">
        <f t="shared" si="2"/>
        <v>22</v>
      </c>
      <c r="B34" s="286" t="s">
        <v>13</v>
      </c>
      <c r="C34" s="331">
        <f>+'[5]Allocated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430">
        <f t="shared" si="11"/>
        <v>4136955.6219727392</v>
      </c>
      <c r="Y34" s="430">
        <f t="shared" si="12"/>
        <v>121094686.13197264</v>
      </c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>
        <f>SUM('Common Adj'!FT29:FT30)</f>
        <v>608662.83430810564</v>
      </c>
      <c r="AL34" s="288"/>
      <c r="AN34" s="288"/>
      <c r="AO34" s="288"/>
      <c r="AP34" s="288">
        <f>+'Common Adj'!HI21</f>
        <v>156400.22579821481</v>
      </c>
      <c r="AQ34" s="288"/>
      <c r="AS34" s="288">
        <f>'Gas Adj'!H22</f>
        <v>-39543.813052333338</v>
      </c>
      <c r="AT34" s="288">
        <f>'Gas Adj'!Q18</f>
        <v>0</v>
      </c>
      <c r="AU34" s="430">
        <f t="shared" si="13"/>
        <v>725519.24705398711</v>
      </c>
      <c r="AV34" s="430">
        <f t="shared" si="14"/>
        <v>121820205.37902662</v>
      </c>
    </row>
    <row r="35" spans="1:48" x14ac:dyDescent="0.25">
      <c r="A35" s="285">
        <f t="shared" si="2"/>
        <v>23</v>
      </c>
      <c r="B35" s="286" t="s">
        <v>14</v>
      </c>
      <c r="C35" s="331">
        <f>+'[5]Allocated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430">
        <f t="shared" si="11"/>
        <v>8190016.0321619846</v>
      </c>
      <c r="Y35" s="430">
        <f t="shared" si="12"/>
        <v>34307585.992161989</v>
      </c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>
        <f>'Common Adj'!GK30</f>
        <v>2681157.0054726158</v>
      </c>
      <c r="AN35" s="288"/>
      <c r="AO35" s="288"/>
      <c r="AP35" s="288"/>
      <c r="AQ35" s="288"/>
      <c r="AR35" s="288">
        <f>'Common Adj'!HY24</f>
        <v>348243.00000000006</v>
      </c>
      <c r="AS35" s="288"/>
      <c r="AT35" s="288"/>
      <c r="AU35" s="430">
        <f t="shared" si="13"/>
        <v>3029400.0054726158</v>
      </c>
      <c r="AV35" s="430">
        <f t="shared" si="14"/>
        <v>37336985.997634605</v>
      </c>
    </row>
    <row r="36" spans="1:48" x14ac:dyDescent="0.25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430">
        <f t="shared" si="11"/>
        <v>0</v>
      </c>
      <c r="Y36" s="430">
        <f t="shared" si="12"/>
        <v>0</v>
      </c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430">
        <f t="shared" si="13"/>
        <v>0</v>
      </c>
      <c r="AV36" s="430">
        <f t="shared" si="14"/>
        <v>0</v>
      </c>
    </row>
    <row r="37" spans="1:48" x14ac:dyDescent="0.25">
      <c r="A37" s="285">
        <f t="shared" si="2"/>
        <v>25</v>
      </c>
      <c r="B37" s="286" t="s">
        <v>16</v>
      </c>
      <c r="C37" s="331">
        <f>+'[5]Allocated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430">
        <f t="shared" si="11"/>
        <v>0</v>
      </c>
      <c r="Y37" s="430">
        <f t="shared" si="12"/>
        <v>8769360.9199999981</v>
      </c>
      <c r="Z37" s="288"/>
      <c r="AA37" s="288"/>
      <c r="AB37" s="288"/>
      <c r="AC37" s="288"/>
      <c r="AD37" s="288"/>
      <c r="AE37" s="288"/>
      <c r="AF37" s="288"/>
      <c r="AG37" s="288"/>
      <c r="AH37" s="288"/>
      <c r="AI37" s="288">
        <f>'Common Adj'!FE17</f>
        <v>-91958.276666666628</v>
      </c>
      <c r="AJ37" s="288">
        <f>'Common Adj'!FM15</f>
        <v>856890.67156689428</v>
      </c>
      <c r="AK37" s="288">
        <f>SUM('Common Adj'!FT31:FT32)</f>
        <v>2065892.0664164524</v>
      </c>
      <c r="AL37" s="288"/>
      <c r="AM37" s="288">
        <f>'Common Adj'!GK31+'Common Adj'!GK32</f>
        <v>3543901.7550629438</v>
      </c>
      <c r="AN37" s="288"/>
      <c r="AO37" s="288"/>
      <c r="AP37" s="288"/>
      <c r="AQ37" s="288"/>
      <c r="AR37" s="288"/>
      <c r="AS37" s="288"/>
      <c r="AT37" s="288"/>
      <c r="AU37" s="430">
        <f t="shared" si="13"/>
        <v>6374726.2163796239</v>
      </c>
      <c r="AV37" s="430">
        <f t="shared" si="14"/>
        <v>15144087.136379622</v>
      </c>
    </row>
    <row r="38" spans="1:48" x14ac:dyDescent="0.25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430">
        <f t="shared" si="11"/>
        <v>0</v>
      </c>
      <c r="Y38" s="430">
        <f t="shared" si="12"/>
        <v>0</v>
      </c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430">
        <f t="shared" si="13"/>
        <v>0</v>
      </c>
      <c r="AV38" s="430">
        <f t="shared" si="14"/>
        <v>0</v>
      </c>
    </row>
    <row r="39" spans="1:48" x14ac:dyDescent="0.25">
      <c r="A39" s="285">
        <f t="shared" si="2"/>
        <v>27</v>
      </c>
      <c r="B39" s="286" t="s">
        <v>18</v>
      </c>
      <c r="C39" s="331">
        <f>+'[5]Allocated (CBR)'!C36</f>
        <v>101477296.77</v>
      </c>
      <c r="D39" s="288">
        <f>+'Common Adj'!F40</f>
        <v>-1701803.6054818591</v>
      </c>
      <c r="E39" s="288">
        <f>+'Common Adj'!N26</f>
        <v>1623.9497689073905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430">
        <f t="shared" si="11"/>
        <v>-66037515.76964312</v>
      </c>
      <c r="Y39" s="430">
        <f t="shared" si="12"/>
        <v>35439781.000356875</v>
      </c>
      <c r="Z39" s="288">
        <f>+'Common Adj'!H40</f>
        <v>-375718.60500679002</v>
      </c>
      <c r="AA39" s="288">
        <f>+'Common Adj'!P26</f>
        <v>1345982.2698797246</v>
      </c>
      <c r="AB39" s="288"/>
      <c r="AC39" s="288">
        <f>+'Common Adj'!BU14</f>
        <v>142661.06778199971</v>
      </c>
      <c r="AD39" s="288"/>
      <c r="AE39" s="288"/>
      <c r="AF39" s="288">
        <f>+'Common Adj'!DQ26</f>
        <v>97848.25822564293</v>
      </c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>
        <f>'Gas Adj'!Q26</f>
        <v>-267514.51280066476</v>
      </c>
      <c r="AU39" s="430">
        <f t="shared" si="13"/>
        <v>943258.47807991237</v>
      </c>
      <c r="AV39" s="430">
        <f t="shared" si="14"/>
        <v>36383039.47843679</v>
      </c>
    </row>
    <row r="40" spans="1:48" x14ac:dyDescent="0.25">
      <c r="A40" s="285">
        <f t="shared" si="2"/>
        <v>28</v>
      </c>
      <c r="B40" s="286" t="s">
        <v>19</v>
      </c>
      <c r="C40" s="331">
        <f>+'[5]Allocated (CBR)'!C37</f>
        <v>31944158.879999999</v>
      </c>
      <c r="D40" s="288">
        <f>+'Common Adj'!F44</f>
        <v>253772.30615966723</v>
      </c>
      <c r="E40" s="288">
        <f>+'Common Adj'!N31</f>
        <v>8494.3946452409709</v>
      </c>
      <c r="F40" s="288">
        <f>'Common Adj'!V14</f>
        <v>-11297868.699383605</v>
      </c>
      <c r="G40" s="288">
        <f>++'Common Adj'!AD21</f>
        <v>-12917116.381072458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430">
        <f t="shared" si="11"/>
        <v>-27610539.917113401</v>
      </c>
      <c r="Y40" s="430">
        <f t="shared" si="12"/>
        <v>4333618.962886598</v>
      </c>
      <c r="Z40" s="288">
        <f>+'Common Adj'!H44</f>
        <v>-1965271.4434845848</v>
      </c>
      <c r="AA40" s="288">
        <f>+'Common Adj'!P31</f>
        <v>3554862.1558688418</v>
      </c>
      <c r="AB40" s="288">
        <f>'Common Adj'!AF21</f>
        <v>184038.22398925267</v>
      </c>
      <c r="AC40" s="288">
        <f>+'Common Adj'!BU19</f>
        <v>-18577.325852819973</v>
      </c>
      <c r="AD40" s="288">
        <f>+'Common Adj'!CC20</f>
        <v>-1018.3736331492352</v>
      </c>
      <c r="AE40" s="288">
        <f>'Common Adj'!DI18</f>
        <v>-6507.4004044509247</v>
      </c>
      <c r="AF40" s="288">
        <f>+'Common Adj'!DQ30</f>
        <v>-507715.69411957473</v>
      </c>
      <c r="AG40" s="288">
        <f>+'Common Adj'!DY32</f>
        <v>-24682.604216377938</v>
      </c>
      <c r="AH40" s="288">
        <f>'Common Adj'!EG23</f>
        <v>-82014.745091032804</v>
      </c>
      <c r="AI40" s="288">
        <f>'Common Adj'!FE19</f>
        <v>19311.238099999991</v>
      </c>
      <c r="AJ40" s="288">
        <f>'Common Adj'!FM18</f>
        <v>-179947.0410290478</v>
      </c>
      <c r="AK40" s="288">
        <f>+'Common Adj'!FT37</f>
        <v>-561656.52915215725</v>
      </c>
      <c r="AL40" s="288">
        <f>+'Common Adj'!GC31</f>
        <v>35663.226233386464</v>
      </c>
      <c r="AM40" s="288">
        <f>'Common Adj'!GK37</f>
        <v>-1307262.3397124675</v>
      </c>
      <c r="AN40" s="288">
        <f>'Common Adj'!GS19</f>
        <v>91469.192067750002</v>
      </c>
      <c r="AO40" s="288"/>
      <c r="AP40" s="288">
        <f>+'Common Adj'!HI26</f>
        <v>-32844.047417625108</v>
      </c>
      <c r="AQ40" s="288">
        <f>'Common Adj'!HQ21</f>
        <v>-80761.578792930581</v>
      </c>
      <c r="AR40" s="288">
        <f>'Common Adj'!HY29</f>
        <v>-73131.030000000013</v>
      </c>
      <c r="AS40" s="288">
        <f>'Gas Adj'!H24</f>
        <v>8304.2007409900016</v>
      </c>
      <c r="AT40" s="288">
        <f>'Gas Adj'!Q31</f>
        <v>-1399288.2591356812</v>
      </c>
      <c r="AU40" s="430">
        <f t="shared" si="13"/>
        <v>-2347030.1750416788</v>
      </c>
      <c r="AV40" s="430">
        <f t="shared" si="14"/>
        <v>1986588.7878449191</v>
      </c>
    </row>
    <row r="41" spans="1:48" x14ac:dyDescent="0.25">
      <c r="A41" s="285">
        <f t="shared" si="2"/>
        <v>29</v>
      </c>
      <c r="B41" s="292" t="s">
        <v>20</v>
      </c>
      <c r="C41" s="331">
        <f>+'[5]Allocated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430">
        <f t="shared" si="11"/>
        <v>10081450.108688122</v>
      </c>
      <c r="Y41" s="430">
        <f t="shared" si="12"/>
        <v>523319.51868812554</v>
      </c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>
        <f>'Common Adj'!HA20</f>
        <v>-722630.37767299998</v>
      </c>
      <c r="AP41" s="288"/>
      <c r="AQ41" s="288"/>
      <c r="AR41" s="288"/>
      <c r="AS41" s="288"/>
      <c r="AT41" s="288"/>
      <c r="AU41" s="430">
        <f t="shared" si="13"/>
        <v>-722630.37767299998</v>
      </c>
      <c r="AV41" s="430">
        <f t="shared" si="14"/>
        <v>-199310.85898487445</v>
      </c>
    </row>
    <row r="42" spans="1:48" x14ac:dyDescent="0.25">
      <c r="A42" s="285">
        <f t="shared" si="2"/>
        <v>30</v>
      </c>
      <c r="B42" s="286" t="s">
        <v>21</v>
      </c>
      <c r="C42" s="296">
        <f t="shared" ref="C42:AC42" si="15">SUM(C25:C41)</f>
        <v>746883373.09999859</v>
      </c>
      <c r="D42" s="296">
        <f t="shared" si="15"/>
        <v>-45361514.45314654</v>
      </c>
      <c r="E42" s="296">
        <f>SUM(E25:E41)</f>
        <v>10420.226264569679</v>
      </c>
      <c r="F42" s="296">
        <f t="shared" si="15"/>
        <v>-1216418.5906954836</v>
      </c>
      <c r="G42" s="296">
        <f>SUM(G25:G41)</f>
        <v>-12917116.381072458</v>
      </c>
      <c r="H42" s="296">
        <f t="shared" si="15"/>
        <v>-61000154.13376648</v>
      </c>
      <c r="I42" s="296">
        <f t="shared" si="15"/>
        <v>1256319.1261336696</v>
      </c>
      <c r="J42" s="296">
        <f t="shared" si="15"/>
        <v>125428.75474144239</v>
      </c>
      <c r="K42" s="296">
        <f t="shared" si="15"/>
        <v>187098.30484735657</v>
      </c>
      <c r="L42" s="296">
        <f t="shared" si="15"/>
        <v>-69886.13058918016</v>
      </c>
      <c r="M42" s="296">
        <f t="shared" si="15"/>
        <v>-3831.0246199423614</v>
      </c>
      <c r="N42" s="296">
        <f t="shared" si="15"/>
        <v>204503.64267608413</v>
      </c>
      <c r="O42" s="296">
        <f t="shared" si="15"/>
        <v>438078.27529363008</v>
      </c>
      <c r="P42" s="296">
        <f t="shared" si="15"/>
        <v>770450.7474650637</v>
      </c>
      <c r="Q42" s="296">
        <f t="shared" si="15"/>
        <v>52646.119560989835</v>
      </c>
      <c r="R42" s="296">
        <f t="shared" si="15"/>
        <v>359399.40979334083</v>
      </c>
      <c r="S42" s="296">
        <f t="shared" si="15"/>
        <v>4190.3865716636919</v>
      </c>
      <c r="T42" s="296">
        <f t="shared" si="15"/>
        <v>10645.339606916785</v>
      </c>
      <c r="U42" s="296">
        <f t="shared" si="15"/>
        <v>0</v>
      </c>
      <c r="V42" s="296">
        <f t="shared" si="15"/>
        <v>9738307.6067664325</v>
      </c>
      <c r="W42" s="296">
        <f t="shared" ref="W42" si="16">SUM(W25:W41)</f>
        <v>-520589.30140931718</v>
      </c>
      <c r="X42" s="433">
        <f>SUM(X25:X41)</f>
        <v>-107932022.07557824</v>
      </c>
      <c r="Y42" s="433">
        <f>SUM(Y25:Y41)</f>
        <v>638951351.02442026</v>
      </c>
      <c r="Z42" s="296">
        <f t="shared" ref="Z42" si="17">SUM(Z25:Z41)</f>
        <v>-2410833.728319895</v>
      </c>
      <c r="AA42" s="296">
        <f>SUM(AA25:AA41)</f>
        <v>21748995.763981901</v>
      </c>
      <c r="AB42" s="296">
        <f>SUM(AB25:AB41)</f>
        <v>184038.22398925267</v>
      </c>
      <c r="AC42" s="296">
        <f t="shared" si="15"/>
        <v>69886.130589179898</v>
      </c>
      <c r="AD42" s="296">
        <f t="shared" ref="AD42:AT42" si="18">SUM(AD25:AD41)</f>
        <v>3831.0246199423614</v>
      </c>
      <c r="AE42" s="296">
        <f t="shared" si="18"/>
        <v>24480.220569124907</v>
      </c>
      <c r="AF42" s="296">
        <f t="shared" si="18"/>
        <v>1909978.0874022099</v>
      </c>
      <c r="AG42" s="296">
        <f t="shared" si="18"/>
        <v>92853.606337802761</v>
      </c>
      <c r="AH42" s="296">
        <f t="shared" si="18"/>
        <v>308531.66010436148</v>
      </c>
      <c r="AI42" s="296">
        <f>SUM(AI25:AI41)</f>
        <v>-72647.038566666641</v>
      </c>
      <c r="AJ42" s="296">
        <f t="shared" si="18"/>
        <v>676943.63053784647</v>
      </c>
      <c r="AK42" s="296">
        <f t="shared" si="18"/>
        <v>2112898.3715724009</v>
      </c>
      <c r="AL42" s="296">
        <f t="shared" si="18"/>
        <v>-134161.66059226336</v>
      </c>
      <c r="AM42" s="296">
        <f t="shared" si="18"/>
        <v>4917796.4208230916</v>
      </c>
      <c r="AN42" s="296">
        <f t="shared" si="18"/>
        <v>-344098.38920724997</v>
      </c>
      <c r="AO42" s="296">
        <f t="shared" si="18"/>
        <v>-722630.37767299998</v>
      </c>
      <c r="AP42" s="296">
        <f t="shared" si="18"/>
        <v>123556.1783805897</v>
      </c>
      <c r="AQ42" s="296">
        <f t="shared" si="18"/>
        <v>303817.36784007057</v>
      </c>
      <c r="AR42" s="296">
        <f t="shared" ref="AR42" si="19">SUM(AR25:AR41)</f>
        <v>275111.97000000003</v>
      </c>
      <c r="AS42" s="296">
        <f>SUM(AS30:AS41)</f>
        <v>-31239.612311343335</v>
      </c>
      <c r="AT42" s="296">
        <f t="shared" si="18"/>
        <v>-1716532.0047519379</v>
      </c>
      <c r="AU42" s="433">
        <f>SUM(AU25:AU41)</f>
        <v>27320575.845325414</v>
      </c>
      <c r="AV42" s="433">
        <f>SUM(AV25:AV41)</f>
        <v>666271926.86974597</v>
      </c>
    </row>
    <row r="43" spans="1:48" x14ac:dyDescent="0.25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434"/>
      <c r="Y43" s="434"/>
      <c r="Z43" s="299"/>
      <c r="AA43" s="299"/>
      <c r="AB43" s="299"/>
      <c r="AC43" s="299">
        <f>+L43</f>
        <v>0</v>
      </c>
      <c r="AD43" s="299">
        <f>+M43</f>
        <v>0</v>
      </c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332"/>
      <c r="AT43" s="333"/>
      <c r="AU43" s="434"/>
      <c r="AV43" s="434"/>
    </row>
    <row r="44" spans="1:48" ht="15.75" thickBot="1" x14ac:dyDescent="0.3">
      <c r="A44" s="285">
        <f t="shared" si="2"/>
        <v>32</v>
      </c>
      <c r="B44" s="292" t="s">
        <v>22</v>
      </c>
      <c r="C44" s="300">
        <f t="shared" ref="C44:AC44" si="20">+C17-C42</f>
        <v>103864303.9900012</v>
      </c>
      <c r="D44" s="300">
        <f t="shared" si="20"/>
        <v>954667.24698159844</v>
      </c>
      <c r="E44" s="300">
        <f>+E17-E42</f>
        <v>31955.103665430321</v>
      </c>
      <c r="F44" s="300">
        <f t="shared" si="20"/>
        <v>1216418.5906954836</v>
      </c>
      <c r="G44" s="300">
        <f>+G17-G42</f>
        <v>12917116.381072458</v>
      </c>
      <c r="H44" s="300">
        <f t="shared" si="20"/>
        <v>-1412118.6458149552</v>
      </c>
      <c r="I44" s="300">
        <f t="shared" si="20"/>
        <v>-1256319.1261336696</v>
      </c>
      <c r="J44" s="300">
        <f t="shared" si="20"/>
        <v>-125428.75474144239</v>
      </c>
      <c r="K44" s="300">
        <f t="shared" si="20"/>
        <v>-187098.30484735657</v>
      </c>
      <c r="L44" s="300">
        <f t="shared" si="20"/>
        <v>69886.13058918016</v>
      </c>
      <c r="M44" s="300">
        <f t="shared" si="20"/>
        <v>3831.0246199423614</v>
      </c>
      <c r="N44" s="300">
        <f t="shared" si="20"/>
        <v>-204503.64267608413</v>
      </c>
      <c r="O44" s="300">
        <f t="shared" si="20"/>
        <v>-438078.27529363008</v>
      </c>
      <c r="P44" s="300">
        <f t="shared" si="20"/>
        <v>-770450.7474650637</v>
      </c>
      <c r="Q44" s="300">
        <f t="shared" si="20"/>
        <v>-52646.119560989835</v>
      </c>
      <c r="R44" s="300">
        <f t="shared" si="20"/>
        <v>-359399.40979334083</v>
      </c>
      <c r="S44" s="300">
        <f t="shared" si="20"/>
        <v>-4190.3865716636919</v>
      </c>
      <c r="T44" s="300">
        <f t="shared" si="20"/>
        <v>-10645.339606916785</v>
      </c>
      <c r="U44" s="300">
        <f t="shared" si="20"/>
        <v>0</v>
      </c>
      <c r="V44" s="300">
        <f t="shared" si="20"/>
        <v>-9738307.6067664325</v>
      </c>
      <c r="W44" s="300">
        <f t="shared" si="20"/>
        <v>520589.30140931718</v>
      </c>
      <c r="X44" s="435">
        <f>+X17-X42</f>
        <v>1155277.4197618663</v>
      </c>
      <c r="Y44" s="435">
        <f>+Y17-Y42</f>
        <v>105019581.40976322</v>
      </c>
      <c r="Z44" s="300">
        <f t="shared" ref="Z44" si="21">+Z17-Z42</f>
        <v>-7393164.0016801059</v>
      </c>
      <c r="AA44" s="300">
        <f>+AA17-AA42</f>
        <v>13373052.872078024</v>
      </c>
      <c r="AB44" s="300">
        <f>+AB17-AB42</f>
        <v>-184038.22398925267</v>
      </c>
      <c r="AC44" s="300">
        <f t="shared" si="20"/>
        <v>-69886.130589179898</v>
      </c>
      <c r="AD44" s="300">
        <f t="shared" ref="AD44:AT44" si="22">+AD17-AD42</f>
        <v>-3831.0246199423614</v>
      </c>
      <c r="AE44" s="300">
        <f t="shared" si="22"/>
        <v>-24480.220569124907</v>
      </c>
      <c r="AF44" s="300">
        <f t="shared" si="22"/>
        <v>-1909978.0874022099</v>
      </c>
      <c r="AG44" s="300">
        <f t="shared" si="22"/>
        <v>-92853.606337802761</v>
      </c>
      <c r="AH44" s="300">
        <f t="shared" si="22"/>
        <v>-308531.66010436148</v>
      </c>
      <c r="AI44" s="300">
        <f>+AI17-AI42</f>
        <v>72647.038566666641</v>
      </c>
      <c r="AJ44" s="300">
        <f t="shared" si="22"/>
        <v>-676943.63053784647</v>
      </c>
      <c r="AK44" s="300">
        <f t="shared" si="22"/>
        <v>-2112898.3715724009</v>
      </c>
      <c r="AL44" s="300">
        <f t="shared" si="22"/>
        <v>134161.66059226336</v>
      </c>
      <c r="AM44" s="300">
        <f t="shared" si="22"/>
        <v>-4917796.4208230916</v>
      </c>
      <c r="AN44" s="300">
        <f t="shared" si="22"/>
        <v>344098.38920724997</v>
      </c>
      <c r="AO44" s="300">
        <f t="shared" si="22"/>
        <v>722630.37767299998</v>
      </c>
      <c r="AP44" s="300">
        <f t="shared" si="22"/>
        <v>-123556.1783805897</v>
      </c>
      <c r="AQ44" s="300">
        <f t="shared" si="22"/>
        <v>-303817.36784007057</v>
      </c>
      <c r="AR44" s="300">
        <f t="shared" ref="AR44" si="23">+AR17-AR42</f>
        <v>-275111.97000000003</v>
      </c>
      <c r="AS44" s="300">
        <f>AS25-AS42</f>
        <v>31239.612311343335</v>
      </c>
      <c r="AT44" s="300">
        <f t="shared" si="22"/>
        <v>-5263989.1653199438</v>
      </c>
      <c r="AU44" s="435">
        <f>+AU17-AU42</f>
        <v>-8983046.1093373708</v>
      </c>
      <c r="AV44" s="435">
        <f>+AV17-AV42</f>
        <v>96036535.300425529</v>
      </c>
    </row>
    <row r="45" spans="1:48" ht="15.75" thickTop="1" x14ac:dyDescent="0.25">
      <c r="A45" s="285">
        <f t="shared" si="2"/>
        <v>33</v>
      </c>
      <c r="B45" s="436" t="s">
        <v>306</v>
      </c>
      <c r="C45" s="331">
        <v>0</v>
      </c>
      <c r="D45" s="331">
        <v>-3921090.5521869976</v>
      </c>
      <c r="E45" s="331">
        <v>0.22626456967918784</v>
      </c>
      <c r="F45" s="331">
        <v>0</v>
      </c>
      <c r="G45" s="331">
        <v>-870085.64868181571</v>
      </c>
      <c r="H45" s="331">
        <v>-0.49659318476915359</v>
      </c>
      <c r="I45" s="331">
        <v>0</v>
      </c>
      <c r="J45" s="331">
        <v>-0.24525855761021376</v>
      </c>
      <c r="K45" s="331">
        <v>-17.628513745847158</v>
      </c>
      <c r="L45" s="331">
        <v>-2.6193447411060333E-10</v>
      </c>
      <c r="M45" s="331">
        <v>-958.68877317424904</v>
      </c>
      <c r="N45" s="331">
        <v>96725.783951967547</v>
      </c>
      <c r="O45" s="331">
        <v>0</v>
      </c>
      <c r="P45" s="331">
        <v>0</v>
      </c>
      <c r="Q45" s="331"/>
      <c r="R45" s="331"/>
      <c r="S45" s="331"/>
      <c r="T45" s="331"/>
      <c r="X45" s="427"/>
      <c r="Y45" s="427"/>
      <c r="AD45" s="334">
        <f>+M45</f>
        <v>-958.68877317424904</v>
      </c>
      <c r="AU45" s="427"/>
      <c r="AV45" s="427"/>
    </row>
    <row r="46" spans="1:48" s="294" customFormat="1" x14ac:dyDescent="0.25">
      <c r="A46" s="285">
        <f t="shared" ref="A46:A62" si="24">A45+1</f>
        <v>34</v>
      </c>
      <c r="B46" s="286" t="s">
        <v>23</v>
      </c>
      <c r="C46" s="293">
        <f t="shared" ref="C46:AC46" si="25">C57</f>
        <v>1951252143.2591095</v>
      </c>
      <c r="D46" s="293">
        <f t="shared" si="25"/>
        <v>0</v>
      </c>
      <c r="E46" s="293">
        <f>E57</f>
        <v>0</v>
      </c>
      <c r="F46" s="293">
        <f t="shared" si="25"/>
        <v>0</v>
      </c>
      <c r="G46" s="293">
        <f t="shared" si="25"/>
        <v>0</v>
      </c>
      <c r="H46" s="293">
        <f t="shared" si="25"/>
        <v>0</v>
      </c>
      <c r="I46" s="293">
        <f t="shared" si="25"/>
        <v>0</v>
      </c>
      <c r="J46" s="293">
        <f t="shared" si="25"/>
        <v>0</v>
      </c>
      <c r="K46" s="293">
        <f t="shared" si="25"/>
        <v>0</v>
      </c>
      <c r="L46" s="293">
        <f t="shared" si="25"/>
        <v>0</v>
      </c>
      <c r="M46" s="293">
        <f t="shared" si="25"/>
        <v>0</v>
      </c>
      <c r="N46" s="293">
        <f t="shared" si="25"/>
        <v>0</v>
      </c>
      <c r="O46" s="293">
        <f t="shared" si="25"/>
        <v>0</v>
      </c>
      <c r="P46" s="293">
        <f t="shared" si="25"/>
        <v>0</v>
      </c>
      <c r="Q46" s="293">
        <f t="shared" si="25"/>
        <v>0</v>
      </c>
      <c r="R46" s="293">
        <f t="shared" si="25"/>
        <v>0</v>
      </c>
      <c r="S46" s="293">
        <f t="shared" si="25"/>
        <v>0</v>
      </c>
      <c r="T46" s="293">
        <f t="shared" si="25"/>
        <v>0</v>
      </c>
      <c r="U46" s="293">
        <f t="shared" si="25"/>
        <v>150665688.3308869</v>
      </c>
      <c r="V46" s="293">
        <f t="shared" si="25"/>
        <v>-9738307.6067664325</v>
      </c>
      <c r="W46" s="293">
        <f t="shared" si="25"/>
        <v>0</v>
      </c>
      <c r="X46" s="429">
        <f t="shared" si="25"/>
        <v>140927380.72412044</v>
      </c>
      <c r="Y46" s="429">
        <f t="shared" si="25"/>
        <v>2092179523.9832296</v>
      </c>
      <c r="Z46" s="293">
        <f t="shared" ref="Z46" si="26">Z57</f>
        <v>0</v>
      </c>
      <c r="AA46" s="293">
        <f>AA57</f>
        <v>0</v>
      </c>
      <c r="AB46" s="293">
        <f t="shared" si="25"/>
        <v>0</v>
      </c>
      <c r="AC46" s="293">
        <f t="shared" si="25"/>
        <v>0</v>
      </c>
      <c r="AD46" s="293">
        <f t="shared" ref="AD46:AV46" si="27">AD57</f>
        <v>0</v>
      </c>
      <c r="AE46" s="293">
        <f t="shared" si="27"/>
        <v>0</v>
      </c>
      <c r="AF46" s="293">
        <f t="shared" si="27"/>
        <v>0</v>
      </c>
      <c r="AG46" s="293">
        <f t="shared" si="27"/>
        <v>0</v>
      </c>
      <c r="AH46" s="293">
        <f t="shared" si="27"/>
        <v>0</v>
      </c>
      <c r="AI46" s="293">
        <f>AI57</f>
        <v>0</v>
      </c>
      <c r="AJ46" s="293">
        <f t="shared" si="27"/>
        <v>0</v>
      </c>
      <c r="AK46" s="293">
        <f t="shared" si="27"/>
        <v>13882662.572720129</v>
      </c>
      <c r="AL46" s="293">
        <f t="shared" si="27"/>
        <v>0</v>
      </c>
      <c r="AM46" s="293">
        <f t="shared" si="27"/>
        <v>13218338.784336466</v>
      </c>
      <c r="AN46" s="293">
        <f t="shared" si="27"/>
        <v>0</v>
      </c>
      <c r="AO46" s="293">
        <f t="shared" si="27"/>
        <v>361315.18883649912</v>
      </c>
      <c r="AP46" s="293">
        <f t="shared" si="27"/>
        <v>5946647.6649043793</v>
      </c>
      <c r="AQ46" s="293">
        <f t="shared" si="27"/>
        <v>0</v>
      </c>
      <c r="AR46" s="293">
        <f t="shared" ref="AR46:AS46" si="28">AR57</f>
        <v>2799732.3622297375</v>
      </c>
      <c r="AS46" s="293">
        <f t="shared" si="28"/>
        <v>-9327511.0024682488</v>
      </c>
      <c r="AT46" s="293">
        <f t="shared" si="27"/>
        <v>-6388043.7029168438</v>
      </c>
      <c r="AU46" s="429">
        <f t="shared" si="27"/>
        <v>20493141.867642112</v>
      </c>
      <c r="AV46" s="429">
        <f t="shared" si="27"/>
        <v>2112672665.850872</v>
      </c>
    </row>
    <row r="47" spans="1:48" x14ac:dyDescent="0.25">
      <c r="A47" s="285">
        <f t="shared" si="24"/>
        <v>35</v>
      </c>
      <c r="B47" s="292"/>
      <c r="G47"/>
      <c r="H47"/>
      <c r="X47" s="427"/>
      <c r="Y47" s="427"/>
      <c r="AU47" s="427"/>
      <c r="AV47" s="427"/>
    </row>
    <row r="48" spans="1:48" x14ac:dyDescent="0.25">
      <c r="A48" s="285">
        <f t="shared" si="24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430"/>
      <c r="Y48" s="439">
        <f>+Y44/Y46</f>
        <v>5.0196257159529023E-2</v>
      </c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430"/>
      <c r="AV48" s="439">
        <f>+AV44/AV46</f>
        <v>4.5457366326906647E-2</v>
      </c>
    </row>
    <row r="49" spans="1:48" x14ac:dyDescent="0.25">
      <c r="A49" s="285">
        <f t="shared" si="24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430"/>
      <c r="Y49" s="430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430"/>
      <c r="AV49" s="430"/>
    </row>
    <row r="50" spans="1:48" x14ac:dyDescent="0.25">
      <c r="A50" s="285">
        <f t="shared" si="24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430"/>
      <c r="Y50" s="430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430"/>
      <c r="AV50" s="430"/>
    </row>
    <row r="51" spans="1:48" x14ac:dyDescent="0.25">
      <c r="A51" s="285">
        <f t="shared" si="24"/>
        <v>39</v>
      </c>
      <c r="B51" s="302" t="s">
        <v>26</v>
      </c>
      <c r="C51" s="293">
        <f>+'[6]Lead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429">
        <f t="shared" ref="X51:X56" si="29">SUM(D51:V51)</f>
        <v>200340092.80947351</v>
      </c>
      <c r="Y51" s="429">
        <f t="shared" ref="Y51:Y56" si="30">+X51+C51</f>
        <v>4300940372.1867046</v>
      </c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>
        <f>+'Common Adj'!FU16+'Common Adj'!FU21</f>
        <v>17491894.039488457</v>
      </c>
      <c r="AL51" s="293">
        <f>+'Common Adj'!GC37</f>
        <v>0</v>
      </c>
      <c r="AM51" s="293">
        <f>'Common Adj'!GK16</f>
        <v>10974426.034299001</v>
      </c>
      <c r="AN51" s="293"/>
      <c r="AO51" s="293"/>
      <c r="AP51" s="293">
        <f>+'Common Adj'!HI15</f>
        <v>6264183.9699999997</v>
      </c>
      <c r="AQ51" s="293"/>
      <c r="AR51" s="293">
        <f>'Common Adj'!HY16</f>
        <v>3482430</v>
      </c>
      <c r="AS51" s="293">
        <f>'Gas Adj'!H15</f>
        <v>-9377979.3800000008</v>
      </c>
      <c r="AT51" s="293">
        <f>'Gas Adj'!Q37</f>
        <v>0</v>
      </c>
      <c r="AU51" s="429">
        <f t="shared" ref="AU51:AU56" si="31">SUM(Z51:AT51)</f>
        <v>28834954.663787454</v>
      </c>
      <c r="AV51" s="429">
        <f t="shared" ref="AV51:AV56" si="32">+AU51+Y51</f>
        <v>4329775326.8504925</v>
      </c>
    </row>
    <row r="52" spans="1:48" x14ac:dyDescent="0.25">
      <c r="A52" s="285">
        <f t="shared" si="24"/>
        <v>40</v>
      </c>
      <c r="B52" s="302" t="s">
        <v>250</v>
      </c>
      <c r="C52" s="331">
        <f>+'[6]Lead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430">
        <f t="shared" si="29"/>
        <v>-67842753.331441611</v>
      </c>
      <c r="Y52" s="430">
        <f t="shared" si="30"/>
        <v>-1637637926.6516845</v>
      </c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>
        <f>+'Common Adj'!FU17+'Common Adj'!FU22</f>
        <v>-1856982.8054439093</v>
      </c>
      <c r="AL52" s="288">
        <f>+'Common Adj'!GC38</f>
        <v>0</v>
      </c>
      <c r="AM52" s="288">
        <f>'Common Adj'!GK17</f>
        <v>-4519875.9271734888</v>
      </c>
      <c r="AN52" s="288"/>
      <c r="AO52" s="288"/>
      <c r="AP52" s="293">
        <f>+'Common Adj'!HI16</f>
        <v>-259802.34853480852</v>
      </c>
      <c r="AQ52" s="288"/>
      <c r="AR52" s="288">
        <f>'Common Adj'!HY17</f>
        <v>-493344.24999999988</v>
      </c>
      <c r="AS52" s="288">
        <f>'Gas Adj'!H16</f>
        <v>39543.813052333338</v>
      </c>
      <c r="AT52" s="293">
        <f>'Gas Adj'!Q38</f>
        <v>-5658425.3422582783</v>
      </c>
      <c r="AU52" s="430">
        <f t="shared" si="31"/>
        <v>-12748886.860358153</v>
      </c>
      <c r="AV52" s="430">
        <f t="shared" si="32"/>
        <v>-1650386813.5120428</v>
      </c>
    </row>
    <row r="53" spans="1:48" x14ac:dyDescent="0.25">
      <c r="A53" s="285">
        <f t="shared" si="24"/>
        <v>41</v>
      </c>
      <c r="B53" s="292" t="s">
        <v>251</v>
      </c>
      <c r="C53" s="331">
        <f>+'[6]Lead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430">
        <f t="shared" si="29"/>
        <v>6347210.0832483806</v>
      </c>
      <c r="Y53" s="430">
        <f t="shared" si="30"/>
        <v>-597685090.60554671</v>
      </c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>
        <f>+'Common Adj'!FU18+'Common Adj'!FU23</f>
        <v>-1752248.6613244195</v>
      </c>
      <c r="AL53" s="288">
        <f>+'Common Adj'!GC39</f>
        <v>0</v>
      </c>
      <c r="AM53" s="288">
        <f>'Common Adj'!GK18+'Common Adj'!GK24</f>
        <v>-1844229.0181584172</v>
      </c>
      <c r="AN53" s="288"/>
      <c r="AO53" s="288">
        <f>'Common Adj'!HA16</f>
        <v>361315.18883649912</v>
      </c>
      <c r="AP53" s="288"/>
      <c r="AQ53" s="288"/>
      <c r="AR53" s="288">
        <f>'Common Adj'!HY18</f>
        <v>-189353.38777026249</v>
      </c>
      <c r="AS53" s="288">
        <f>'Gas Adj'!H17</f>
        <v>10924.564479418335</v>
      </c>
      <c r="AT53" s="293">
        <f>'Gas Adj'!Q39</f>
        <v>-729618.36065856554</v>
      </c>
      <c r="AU53" s="430">
        <f t="shared" si="31"/>
        <v>-4143209.6745957471</v>
      </c>
      <c r="AV53" s="430">
        <f t="shared" si="32"/>
        <v>-601828300.28014243</v>
      </c>
    </row>
    <row r="54" spans="1:48" x14ac:dyDescent="0.25">
      <c r="A54" s="285">
        <f t="shared" si="24"/>
        <v>42</v>
      </c>
      <c r="B54" s="292" t="s">
        <v>252</v>
      </c>
      <c r="C54" s="331">
        <f>+'[6]Lead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430">
        <f t="shared" si="29"/>
        <v>2958805.4567250796</v>
      </c>
      <c r="Y54" s="430">
        <f t="shared" si="30"/>
        <v>-26993656.705525</v>
      </c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>
        <f>'Common Adj'!GK22+'Common Adj'!GK23</f>
        <v>8608017.6953693703</v>
      </c>
      <c r="AN54" s="288"/>
      <c r="AO54" s="288"/>
      <c r="AP54" s="293">
        <f>+'Common Adj'!HI17</f>
        <v>-57733.95656081185</v>
      </c>
      <c r="AQ54" s="288"/>
      <c r="AR54" s="288"/>
      <c r="AS54" s="288"/>
      <c r="AT54" s="288"/>
      <c r="AU54" s="430">
        <f t="shared" si="31"/>
        <v>8550283.7388085593</v>
      </c>
      <c r="AV54" s="430">
        <f t="shared" si="32"/>
        <v>-18443372.966716439</v>
      </c>
    </row>
    <row r="55" spans="1:48" x14ac:dyDescent="0.25">
      <c r="A55" s="285">
        <f t="shared" si="24"/>
        <v>43</v>
      </c>
      <c r="B55" s="292" t="s">
        <v>30</v>
      </c>
      <c r="C55" s="331">
        <f>+'[6]Lead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-875974.29388491809</v>
      </c>
      <c r="V55" s="331"/>
      <c r="W55" s="288"/>
      <c r="X55" s="430">
        <f t="shared" si="29"/>
        <v>-875974.29388491809</v>
      </c>
      <c r="Y55" s="430">
        <f t="shared" si="30"/>
        <v>53555825.759281471</v>
      </c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430">
        <f t="shared" si="31"/>
        <v>0</v>
      </c>
      <c r="AV55" s="430">
        <f t="shared" si="32"/>
        <v>53555825.759281471</v>
      </c>
    </row>
    <row r="56" spans="1:48" x14ac:dyDescent="0.25">
      <c r="A56" s="285">
        <f t="shared" si="24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430">
        <f t="shared" si="29"/>
        <v>0</v>
      </c>
      <c r="Y56" s="430">
        <f t="shared" si="30"/>
        <v>0</v>
      </c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430">
        <f t="shared" si="31"/>
        <v>0</v>
      </c>
      <c r="AV56" s="430">
        <f t="shared" si="32"/>
        <v>0</v>
      </c>
    </row>
    <row r="57" spans="1:48" ht="15.75" thickBot="1" x14ac:dyDescent="0.3">
      <c r="A57" s="285">
        <f t="shared" si="24"/>
        <v>45</v>
      </c>
      <c r="B57" s="292" t="s">
        <v>32</v>
      </c>
      <c r="C57" s="300">
        <f t="shared" ref="C57:AC57" si="33">SUM(C51:C56)</f>
        <v>1951252143.2591095</v>
      </c>
      <c r="D57" s="300">
        <f t="shared" si="33"/>
        <v>0</v>
      </c>
      <c r="E57" s="300">
        <f>SUM(E51:E56)</f>
        <v>0</v>
      </c>
      <c r="F57" s="300">
        <f t="shared" si="33"/>
        <v>0</v>
      </c>
      <c r="G57" s="300">
        <f t="shared" si="33"/>
        <v>0</v>
      </c>
      <c r="H57" s="300">
        <f t="shared" si="33"/>
        <v>0</v>
      </c>
      <c r="I57" s="300">
        <f t="shared" si="33"/>
        <v>0</v>
      </c>
      <c r="J57" s="300">
        <f t="shared" si="33"/>
        <v>0</v>
      </c>
      <c r="K57" s="300">
        <f t="shared" si="33"/>
        <v>0</v>
      </c>
      <c r="L57" s="300">
        <f t="shared" si="33"/>
        <v>0</v>
      </c>
      <c r="M57" s="300">
        <f t="shared" si="33"/>
        <v>0</v>
      </c>
      <c r="N57" s="300">
        <f t="shared" si="33"/>
        <v>0</v>
      </c>
      <c r="O57" s="300">
        <f t="shared" si="33"/>
        <v>0</v>
      </c>
      <c r="P57" s="300">
        <f t="shared" si="33"/>
        <v>0</v>
      </c>
      <c r="Q57" s="300">
        <f t="shared" si="33"/>
        <v>0</v>
      </c>
      <c r="R57" s="300">
        <f t="shared" si="33"/>
        <v>0</v>
      </c>
      <c r="S57" s="300">
        <f t="shared" si="33"/>
        <v>0</v>
      </c>
      <c r="T57" s="300">
        <f t="shared" si="33"/>
        <v>0</v>
      </c>
      <c r="U57" s="300">
        <f t="shared" si="33"/>
        <v>150665688.3308869</v>
      </c>
      <c r="V57" s="300">
        <f t="shared" si="33"/>
        <v>-9738307.6067664325</v>
      </c>
      <c r="W57" s="300">
        <f t="shared" ref="W57" si="34">SUM(W51:W56)</f>
        <v>0</v>
      </c>
      <c r="X57" s="435">
        <f t="shared" si="33"/>
        <v>140927380.72412044</v>
      </c>
      <c r="Y57" s="435">
        <f t="shared" si="33"/>
        <v>2092179523.9832296</v>
      </c>
      <c r="Z57" s="300">
        <f t="shared" ref="Z57" si="35">SUM(Z51:Z56)</f>
        <v>0</v>
      </c>
      <c r="AA57" s="300">
        <f>SUM(AA51:AA56)</f>
        <v>0</v>
      </c>
      <c r="AB57" s="300">
        <f t="shared" si="33"/>
        <v>0</v>
      </c>
      <c r="AC57" s="300">
        <f t="shared" si="33"/>
        <v>0</v>
      </c>
      <c r="AD57" s="300">
        <f t="shared" ref="AD57:AV57" si="36">SUM(AD51:AD56)</f>
        <v>0</v>
      </c>
      <c r="AE57" s="300">
        <f t="shared" si="36"/>
        <v>0</v>
      </c>
      <c r="AF57" s="300">
        <f t="shared" si="36"/>
        <v>0</v>
      </c>
      <c r="AG57" s="300">
        <f t="shared" si="36"/>
        <v>0</v>
      </c>
      <c r="AH57" s="300">
        <f t="shared" si="36"/>
        <v>0</v>
      </c>
      <c r="AI57" s="300">
        <f>SUM(AI51:AI56)</f>
        <v>0</v>
      </c>
      <c r="AJ57" s="300">
        <f t="shared" si="36"/>
        <v>0</v>
      </c>
      <c r="AK57" s="300">
        <f t="shared" si="36"/>
        <v>13882662.572720129</v>
      </c>
      <c r="AL57" s="300">
        <f t="shared" si="36"/>
        <v>0</v>
      </c>
      <c r="AM57" s="300">
        <f t="shared" si="36"/>
        <v>13218338.784336466</v>
      </c>
      <c r="AN57" s="300">
        <f t="shared" si="36"/>
        <v>0</v>
      </c>
      <c r="AO57" s="300">
        <f t="shared" si="36"/>
        <v>361315.18883649912</v>
      </c>
      <c r="AP57" s="300">
        <f t="shared" si="36"/>
        <v>5946647.6649043793</v>
      </c>
      <c r="AQ57" s="300">
        <f t="shared" si="36"/>
        <v>0</v>
      </c>
      <c r="AR57" s="300">
        <f t="shared" ref="AR57:AS57" si="37">SUM(AR51:AR56)</f>
        <v>2799732.3622297375</v>
      </c>
      <c r="AS57" s="300">
        <f t="shared" si="37"/>
        <v>-9327511.0024682488</v>
      </c>
      <c r="AT57" s="300">
        <f t="shared" si="36"/>
        <v>-6388043.7029168438</v>
      </c>
      <c r="AU57" s="435">
        <f t="shared" si="36"/>
        <v>20493141.867642112</v>
      </c>
      <c r="AV57" s="435">
        <f t="shared" si="36"/>
        <v>2112672665.850872</v>
      </c>
    </row>
    <row r="58" spans="1:48" ht="16.5" thickTop="1" thickBot="1" x14ac:dyDescent="0.3">
      <c r="A58" s="285">
        <f t="shared" si="24"/>
        <v>46</v>
      </c>
      <c r="C58" s="437">
        <f>+'[6]Lead G'!$C$16-C57</f>
        <v>0</v>
      </c>
      <c r="G58" s="281" t="s">
        <v>240</v>
      </c>
      <c r="X58" s="427"/>
      <c r="Y58" s="427"/>
      <c r="AU58" s="427"/>
      <c r="AV58" s="427"/>
    </row>
    <row r="59" spans="1:48" ht="15.75" thickBot="1" x14ac:dyDescent="0.3">
      <c r="A59" s="285">
        <f t="shared" si="24"/>
        <v>47</v>
      </c>
      <c r="B59" s="292" t="s">
        <v>155</v>
      </c>
      <c r="C59" s="440">
        <f>+'COC, Def, ConvF'!$C$13</f>
        <v>7.6200000000000004E-2</v>
      </c>
      <c r="D59" s="440">
        <f>+'COC, Def, ConvF'!$C$13</f>
        <v>7.6200000000000004E-2</v>
      </c>
      <c r="E59" s="440">
        <f>+'COC, Def, ConvF'!$C$13</f>
        <v>7.6200000000000004E-2</v>
      </c>
      <c r="F59" s="440">
        <f>+'COC, Def, ConvF'!$C$13</f>
        <v>7.6200000000000004E-2</v>
      </c>
      <c r="G59" s="441">
        <f>+'COC-Restating'!E13</f>
        <v>7.5999999999999998E-2</v>
      </c>
      <c r="H59" s="440">
        <f>+'COC, Def, ConvF'!$C$13</f>
        <v>7.6200000000000004E-2</v>
      </c>
      <c r="I59" s="440">
        <f>+'COC, Def, ConvF'!$C$13</f>
        <v>7.6200000000000004E-2</v>
      </c>
      <c r="J59" s="440">
        <f>+'COC, Def, ConvF'!$C$13</f>
        <v>7.6200000000000004E-2</v>
      </c>
      <c r="K59" s="440">
        <f>+'COC, Def, ConvF'!$C$13</f>
        <v>7.6200000000000004E-2</v>
      </c>
      <c r="L59" s="440">
        <f>+'COC, Def, ConvF'!$C$13</f>
        <v>7.6200000000000004E-2</v>
      </c>
      <c r="M59" s="440">
        <f>+'COC, Def, ConvF'!$C$13</f>
        <v>7.6200000000000004E-2</v>
      </c>
      <c r="N59" s="440">
        <f>+'COC, Def, ConvF'!$C$13</f>
        <v>7.6200000000000004E-2</v>
      </c>
      <c r="O59" s="440">
        <f>+'COC, Def, ConvF'!$C$13</f>
        <v>7.6200000000000004E-2</v>
      </c>
      <c r="P59" s="440">
        <f>+'COC, Def, ConvF'!$C$13</f>
        <v>7.6200000000000004E-2</v>
      </c>
      <c r="Q59" s="440">
        <f>+'COC, Def, ConvF'!$C$13</f>
        <v>7.6200000000000004E-2</v>
      </c>
      <c r="R59" s="440">
        <f>+'COC, Def, ConvF'!$C$13</f>
        <v>7.6200000000000004E-2</v>
      </c>
      <c r="S59" s="440">
        <f>+'COC, Def, ConvF'!$C$13</f>
        <v>7.6200000000000004E-2</v>
      </c>
      <c r="T59" s="440">
        <f>+'COC, Def, ConvF'!$C$13</f>
        <v>7.6200000000000004E-2</v>
      </c>
      <c r="U59" s="440">
        <f>+'COC, Def, ConvF'!$C$13</f>
        <v>7.6200000000000004E-2</v>
      </c>
      <c r="V59" s="440">
        <f>+'COC, Def, ConvF'!$C$13</f>
        <v>7.6200000000000004E-2</v>
      </c>
      <c r="W59" s="440">
        <f>+'COC, Def, ConvF'!$C$13</f>
        <v>7.6200000000000004E-2</v>
      </c>
      <c r="X59" s="442">
        <f>+'COC, Def, ConvF'!$C$13</f>
        <v>7.6200000000000004E-2</v>
      </c>
      <c r="Y59" s="442">
        <f>+'COC, Def, ConvF'!$C$13</f>
        <v>7.6200000000000004E-2</v>
      </c>
      <c r="Z59" s="440">
        <f>+'COC, Def, ConvF'!$C$13</f>
        <v>7.6200000000000004E-2</v>
      </c>
      <c r="AA59" s="440">
        <f>+'COC, Def, ConvF'!$C$13</f>
        <v>7.6200000000000004E-2</v>
      </c>
      <c r="AB59" s="440">
        <f>+'COC, Def, ConvF'!$C$13</f>
        <v>7.6200000000000004E-2</v>
      </c>
      <c r="AC59" s="440">
        <f>+'COC, Def, ConvF'!$C$13</f>
        <v>7.6200000000000004E-2</v>
      </c>
      <c r="AD59" s="440">
        <f>+'COC, Def, ConvF'!$C$13</f>
        <v>7.6200000000000004E-2</v>
      </c>
      <c r="AE59" s="440">
        <f>+'COC, Def, ConvF'!$C$13</f>
        <v>7.6200000000000004E-2</v>
      </c>
      <c r="AF59" s="440">
        <f>+'COC, Def, ConvF'!$C$13</f>
        <v>7.6200000000000004E-2</v>
      </c>
      <c r="AG59" s="440">
        <f>+'COC, Def, ConvF'!$C$13</f>
        <v>7.6200000000000004E-2</v>
      </c>
      <c r="AH59" s="440">
        <f>+'COC, Def, ConvF'!$C$13</f>
        <v>7.6200000000000004E-2</v>
      </c>
      <c r="AI59" s="440">
        <f>+'COC, Def, ConvF'!$C$13</f>
        <v>7.6200000000000004E-2</v>
      </c>
      <c r="AJ59" s="440">
        <f>+'COC, Def, ConvF'!$C$13</f>
        <v>7.6200000000000004E-2</v>
      </c>
      <c r="AK59" s="440">
        <f>+'COC, Def, ConvF'!$C$13</f>
        <v>7.6200000000000004E-2</v>
      </c>
      <c r="AL59" s="440">
        <f>+'COC, Def, ConvF'!$C$13</f>
        <v>7.6200000000000004E-2</v>
      </c>
      <c r="AM59" s="440">
        <f>+'COC, Def, ConvF'!$C$13</f>
        <v>7.6200000000000004E-2</v>
      </c>
      <c r="AN59" s="440">
        <f>+'COC, Def, ConvF'!$C$13</f>
        <v>7.6200000000000004E-2</v>
      </c>
      <c r="AO59" s="440">
        <f>+'COC, Def, ConvF'!$C$13</f>
        <v>7.6200000000000004E-2</v>
      </c>
      <c r="AP59" s="440">
        <f>+'COC, Def, ConvF'!$C$13</f>
        <v>7.6200000000000004E-2</v>
      </c>
      <c r="AQ59" s="440">
        <f>+'COC, Def, ConvF'!$C$13</f>
        <v>7.6200000000000004E-2</v>
      </c>
      <c r="AR59" s="440">
        <f>+'COC, Def, ConvF'!$C$13</f>
        <v>7.6200000000000004E-2</v>
      </c>
      <c r="AS59" s="440">
        <f>+'COC, Def, ConvF'!$C$13</f>
        <v>7.6200000000000004E-2</v>
      </c>
      <c r="AT59" s="440">
        <f>+'COC, Def, ConvF'!$C$13</f>
        <v>7.6200000000000004E-2</v>
      </c>
      <c r="AU59" s="442">
        <f>+'COC, Def, ConvF'!$C$13</f>
        <v>7.6200000000000004E-2</v>
      </c>
      <c r="AV59" s="442">
        <f>+'COC, Def, ConvF'!$C$13</f>
        <v>7.6200000000000004E-2</v>
      </c>
    </row>
    <row r="60" spans="1:48" x14ac:dyDescent="0.25">
      <c r="A60" s="285">
        <f t="shared" si="24"/>
        <v>48</v>
      </c>
      <c r="B60" s="292" t="s">
        <v>176</v>
      </c>
      <c r="C60" s="438">
        <f>+'COC, Def, ConvF'!$M$20</f>
        <v>0.75409700000000002</v>
      </c>
      <c r="D60" s="438">
        <f>+'COC, Def, ConvF'!$M$20</f>
        <v>0.75409700000000002</v>
      </c>
      <c r="E60" s="438">
        <f>+'COC, Def, ConvF'!$M$20</f>
        <v>0.75409700000000002</v>
      </c>
      <c r="F60" s="438">
        <f>+'COC, Def, ConvF'!$M$20</f>
        <v>0.75409700000000002</v>
      </c>
      <c r="G60" s="438">
        <f>+'COC, Def, ConvF'!$M$20</f>
        <v>0.75409700000000002</v>
      </c>
      <c r="H60" s="438">
        <f>+'COC, Def, ConvF'!$M$20</f>
        <v>0.75409700000000002</v>
      </c>
      <c r="I60" s="438">
        <f>+'COC, Def, ConvF'!$M$20</f>
        <v>0.75409700000000002</v>
      </c>
      <c r="J60" s="438">
        <f>+'COC, Def, ConvF'!$M$20</f>
        <v>0.75409700000000002</v>
      </c>
      <c r="K60" s="438">
        <f>+'COC, Def, ConvF'!$M$20</f>
        <v>0.75409700000000002</v>
      </c>
      <c r="L60" s="438">
        <f>+'COC, Def, ConvF'!$M$20</f>
        <v>0.75409700000000002</v>
      </c>
      <c r="M60" s="438">
        <f>+'COC, Def, ConvF'!$M$20</f>
        <v>0.75409700000000002</v>
      </c>
      <c r="N60" s="438">
        <f>+'COC, Def, ConvF'!$M$20</f>
        <v>0.75409700000000002</v>
      </c>
      <c r="O60" s="438">
        <f>+'COC, Def, ConvF'!$M$20</f>
        <v>0.75409700000000002</v>
      </c>
      <c r="P60" s="438">
        <f>+'COC, Def, ConvF'!$M$20</f>
        <v>0.75409700000000002</v>
      </c>
      <c r="Q60" s="438">
        <f>+'COC, Def, ConvF'!$M$20</f>
        <v>0.75409700000000002</v>
      </c>
      <c r="R60" s="438">
        <f>+'COC, Def, ConvF'!$M$20</f>
        <v>0.75409700000000002</v>
      </c>
      <c r="S60" s="438">
        <f>+'COC, Def, ConvF'!$M$20</f>
        <v>0.75409700000000002</v>
      </c>
      <c r="T60" s="438">
        <f>+'COC, Def, ConvF'!$M$20</f>
        <v>0.75409700000000002</v>
      </c>
      <c r="U60" s="438">
        <f>+'COC, Def, ConvF'!$M$20</f>
        <v>0.75409700000000002</v>
      </c>
      <c r="V60" s="438">
        <f>+'COC, Def, ConvF'!$M$20</f>
        <v>0.75409700000000002</v>
      </c>
      <c r="W60" s="438">
        <f>+'COC, Def, ConvF'!$M$20</f>
        <v>0.75409700000000002</v>
      </c>
      <c r="X60" s="443">
        <f>+'COC, Def, ConvF'!$M$20</f>
        <v>0.75409700000000002</v>
      </c>
      <c r="Y60" s="443">
        <f>+'COC, Def, ConvF'!$M$20</f>
        <v>0.75409700000000002</v>
      </c>
      <c r="Z60" s="438">
        <f>+'COC, Def, ConvF'!$M$20</f>
        <v>0.75409700000000002</v>
      </c>
      <c r="AA60" s="438">
        <f>+'COC, Def, ConvF'!$M$20</f>
        <v>0.75409700000000002</v>
      </c>
      <c r="AB60" s="438">
        <f>+'COC, Def, ConvF'!$M$20</f>
        <v>0.75409700000000002</v>
      </c>
      <c r="AC60" s="438">
        <f>+'COC, Def, ConvF'!$M$20</f>
        <v>0.75409700000000002</v>
      </c>
      <c r="AD60" s="438">
        <f>+'COC, Def, ConvF'!$M$20</f>
        <v>0.75409700000000002</v>
      </c>
      <c r="AE60" s="438">
        <f>+'COC, Def, ConvF'!$M$20</f>
        <v>0.75409700000000002</v>
      </c>
      <c r="AF60" s="438">
        <f>+'COC, Def, ConvF'!$M$20</f>
        <v>0.75409700000000002</v>
      </c>
      <c r="AG60" s="438">
        <f>+'COC, Def, ConvF'!$M$20</f>
        <v>0.75409700000000002</v>
      </c>
      <c r="AH60" s="438">
        <f>+'COC, Def, ConvF'!$M$20</f>
        <v>0.75409700000000002</v>
      </c>
      <c r="AI60" s="438">
        <f>+'COC, Def, ConvF'!$M$20</f>
        <v>0.75409700000000002</v>
      </c>
      <c r="AJ60" s="438">
        <f>+'COC, Def, ConvF'!$M$20</f>
        <v>0.75409700000000002</v>
      </c>
      <c r="AK60" s="438">
        <f>+'COC, Def, ConvF'!$M$20</f>
        <v>0.75409700000000002</v>
      </c>
      <c r="AL60" s="438">
        <f>+'COC, Def, ConvF'!$M$20</f>
        <v>0.75409700000000002</v>
      </c>
      <c r="AM60" s="438">
        <f>+'COC, Def, ConvF'!$M$20</f>
        <v>0.75409700000000002</v>
      </c>
      <c r="AN60" s="438">
        <f>+'COC, Def, ConvF'!$M$20</f>
        <v>0.75409700000000002</v>
      </c>
      <c r="AO60" s="438">
        <f>+'COC, Def, ConvF'!$M$20</f>
        <v>0.75409700000000002</v>
      </c>
      <c r="AP60" s="438">
        <f>+'COC, Def, ConvF'!$M$20</f>
        <v>0.75409700000000002</v>
      </c>
      <c r="AQ60" s="438">
        <f>+'COC, Def, ConvF'!$M$20</f>
        <v>0.75409700000000002</v>
      </c>
      <c r="AR60" s="438">
        <f>+'COC, Def, ConvF'!$M$20</f>
        <v>0.75409700000000002</v>
      </c>
      <c r="AS60" s="438">
        <f>+'COC, Def, ConvF'!$M$20</f>
        <v>0.75409700000000002</v>
      </c>
      <c r="AT60" s="438">
        <f>+'COC, Def, ConvF'!$M$20</f>
        <v>0.75409700000000002</v>
      </c>
      <c r="AU60" s="443">
        <f>+'COC, Def, ConvF'!$M$20</f>
        <v>0.75409700000000002</v>
      </c>
      <c r="AV60" s="443">
        <f>+'COC, Def, ConvF'!$M$20</f>
        <v>0.75409700000000002</v>
      </c>
    </row>
    <row r="61" spans="1:48" x14ac:dyDescent="0.25">
      <c r="A61" s="285">
        <f t="shared" si="24"/>
        <v>49</v>
      </c>
      <c r="B61" s="292" t="s">
        <v>177</v>
      </c>
      <c r="C61" s="294">
        <f t="shared" ref="C61:AC61" si="38">+C44-(C57*C59)</f>
        <v>-44821109.32634294</v>
      </c>
      <c r="D61" s="294">
        <f t="shared" si="38"/>
        <v>954667.24698159844</v>
      </c>
      <c r="E61" s="294">
        <f>+E44-(E57*E59)</f>
        <v>31955.103665430321</v>
      </c>
      <c r="F61" s="294">
        <f t="shared" si="38"/>
        <v>1216418.5906954836</v>
      </c>
      <c r="G61" s="294">
        <f>+G44-(G57*G59)</f>
        <v>12917116.381072458</v>
      </c>
      <c r="H61" s="294">
        <f t="shared" si="38"/>
        <v>-1412118.6458149552</v>
      </c>
      <c r="I61" s="294">
        <f t="shared" si="38"/>
        <v>-1256319.1261336696</v>
      </c>
      <c r="J61" s="294">
        <f t="shared" si="38"/>
        <v>-125428.75474144239</v>
      </c>
      <c r="K61" s="294">
        <f t="shared" si="38"/>
        <v>-187098.30484735657</v>
      </c>
      <c r="L61" s="294">
        <f t="shared" si="38"/>
        <v>69886.13058918016</v>
      </c>
      <c r="M61" s="294">
        <f t="shared" si="38"/>
        <v>3831.0246199423614</v>
      </c>
      <c r="N61" s="294">
        <f t="shared" si="38"/>
        <v>-204503.64267608413</v>
      </c>
      <c r="O61" s="294">
        <f t="shared" si="38"/>
        <v>-438078.27529363008</v>
      </c>
      <c r="P61" s="294">
        <f t="shared" si="38"/>
        <v>-770450.7474650637</v>
      </c>
      <c r="Q61" s="294">
        <f t="shared" si="38"/>
        <v>-52646.119560989835</v>
      </c>
      <c r="R61" s="294">
        <f t="shared" si="38"/>
        <v>-359399.40979334083</v>
      </c>
      <c r="S61" s="294">
        <f t="shared" si="38"/>
        <v>-4190.3865716636919</v>
      </c>
      <c r="T61" s="294">
        <f t="shared" si="38"/>
        <v>-10645.339606916785</v>
      </c>
      <c r="U61" s="294">
        <f t="shared" si="38"/>
        <v>-11480725.450813582</v>
      </c>
      <c r="V61" s="294">
        <f t="shared" si="38"/>
        <v>-8996248.5671308301</v>
      </c>
      <c r="W61" s="294">
        <f t="shared" si="38"/>
        <v>520589.30140931718</v>
      </c>
      <c r="X61" s="430">
        <f>+X44-(X57*X59)</f>
        <v>-9583388.9914161116</v>
      </c>
      <c r="Y61" s="430">
        <f>+Y44-(Y57*Y59)</f>
        <v>-54404498.317758888</v>
      </c>
      <c r="Z61" s="294">
        <f t="shared" ref="Z61" si="39">+Z44-(Z57*Z59)</f>
        <v>-7393164.0016801059</v>
      </c>
      <c r="AA61" s="294">
        <f>+AA44-(AA57*AA59)</f>
        <v>13373052.872078024</v>
      </c>
      <c r="AB61" s="294">
        <f>+AB44-(AB57*AB59)</f>
        <v>-184038.22398925267</v>
      </c>
      <c r="AC61" s="294">
        <f t="shared" si="38"/>
        <v>-69886.130589179898</v>
      </c>
      <c r="AD61" s="294">
        <f t="shared" ref="AD61:AT61" si="40">+AD44-(AD57*AD59)</f>
        <v>-3831.0246199423614</v>
      </c>
      <c r="AE61" s="294">
        <f t="shared" si="40"/>
        <v>-24480.220569124907</v>
      </c>
      <c r="AF61" s="294">
        <f t="shared" si="40"/>
        <v>-1909978.0874022099</v>
      </c>
      <c r="AG61" s="294">
        <f t="shared" si="40"/>
        <v>-92853.606337802761</v>
      </c>
      <c r="AH61" s="294">
        <f t="shared" si="40"/>
        <v>-308531.66010436148</v>
      </c>
      <c r="AI61" s="294">
        <f>+AI44-(AI57*AI59)</f>
        <v>72647.038566666641</v>
      </c>
      <c r="AJ61" s="294">
        <f t="shared" si="40"/>
        <v>-676943.63053784647</v>
      </c>
      <c r="AK61" s="294">
        <f t="shared" si="40"/>
        <v>-3170757.2596136751</v>
      </c>
      <c r="AL61" s="294">
        <f t="shared" si="40"/>
        <v>134161.66059226336</v>
      </c>
      <c r="AM61" s="294">
        <f t="shared" si="40"/>
        <v>-5925033.8361895308</v>
      </c>
      <c r="AN61" s="294">
        <f t="shared" si="40"/>
        <v>344098.38920724997</v>
      </c>
      <c r="AO61" s="294">
        <f t="shared" si="40"/>
        <v>695098.16028365877</v>
      </c>
      <c r="AP61" s="294">
        <f t="shared" si="40"/>
        <v>-576690.7304463035</v>
      </c>
      <c r="AQ61" s="294">
        <f t="shared" si="40"/>
        <v>-303817.36784007057</v>
      </c>
      <c r="AR61" s="294">
        <f t="shared" ref="AR61:AS61" si="41">+AR44-(AR57*AR59)</f>
        <v>-488451.57600190607</v>
      </c>
      <c r="AS61" s="294">
        <f t="shared" si="41"/>
        <v>741995.95069942391</v>
      </c>
      <c r="AT61" s="294">
        <f t="shared" si="40"/>
        <v>-4777220.2351576807</v>
      </c>
      <c r="AU61" s="430">
        <f>+AU44-(AU57*AU59)</f>
        <v>-10544623.5196517</v>
      </c>
      <c r="AV61" s="430">
        <f>+AV44-(AV57*AV59)</f>
        <v>-64949121.837410927</v>
      </c>
    </row>
    <row r="62" spans="1:48" x14ac:dyDescent="0.25">
      <c r="A62" s="285">
        <f t="shared" si="24"/>
        <v>50</v>
      </c>
      <c r="B62" s="292" t="s">
        <v>178</v>
      </c>
      <c r="C62" s="294">
        <f t="shared" ref="C62:AC62" si="42">-C61/C60</f>
        <v>59436795.699151352</v>
      </c>
      <c r="D62" s="294">
        <f t="shared" si="42"/>
        <v>-1265974.0682983734</v>
      </c>
      <c r="E62" s="294">
        <f>-E61/E60</f>
        <v>-42375.322624848421</v>
      </c>
      <c r="F62" s="294">
        <f t="shared" si="42"/>
        <v>-1613079.7373487544</v>
      </c>
      <c r="G62" s="294">
        <f>-G61/G60</f>
        <v>-17129250.4559393</v>
      </c>
      <c r="H62" s="294">
        <f t="shared" si="42"/>
        <v>1872595.496089966</v>
      </c>
      <c r="I62" s="294">
        <f t="shared" si="42"/>
        <v>1665991.4124226321</v>
      </c>
      <c r="J62" s="294">
        <f t="shared" si="42"/>
        <v>166329.73575208811</v>
      </c>
      <c r="K62" s="294">
        <f t="shared" si="42"/>
        <v>248109.06932046748</v>
      </c>
      <c r="L62" s="294">
        <f t="shared" si="42"/>
        <v>-92675.2534344788</v>
      </c>
      <c r="M62" s="294">
        <f t="shared" si="42"/>
        <v>-5080.2809452130978</v>
      </c>
      <c r="N62" s="294">
        <f t="shared" si="42"/>
        <v>271190.10243520944</v>
      </c>
      <c r="O62" s="294">
        <f t="shared" si="42"/>
        <v>580930.93500389217</v>
      </c>
      <c r="P62" s="294">
        <f t="shared" si="42"/>
        <v>1021686.5303337153</v>
      </c>
      <c r="Q62" s="294">
        <f t="shared" si="42"/>
        <v>69813.458429074555</v>
      </c>
      <c r="R62" s="294">
        <f t="shared" si="42"/>
        <v>476595.72945302899</v>
      </c>
      <c r="S62" s="294">
        <f t="shared" si="42"/>
        <v>5556.8270019157908</v>
      </c>
      <c r="T62" s="294">
        <f t="shared" si="42"/>
        <v>14116.671471862088</v>
      </c>
      <c r="U62" s="294">
        <f t="shared" si="42"/>
        <v>15224467.741966328</v>
      </c>
      <c r="V62" s="294">
        <f t="shared" si="42"/>
        <v>11929829.408061337</v>
      </c>
      <c r="W62" s="294">
        <f t="shared" si="42"/>
        <v>-690347.92793144274</v>
      </c>
      <c r="X62" s="444">
        <f>-X61/X60</f>
        <v>12708430.071219102</v>
      </c>
      <c r="Y62" s="444">
        <f>-Y61/Y60</f>
        <v>72145225.770370245</v>
      </c>
      <c r="Z62" s="294">
        <f t="shared" ref="Z62" si="43">-Z61/Z60</f>
        <v>9803996.0398729946</v>
      </c>
      <c r="AA62" s="294">
        <f>-AA61/AA60</f>
        <v>-17733862.980595365</v>
      </c>
      <c r="AB62" s="294">
        <f>-AB61/AB60</f>
        <v>244051.12868669769</v>
      </c>
      <c r="AC62" s="294">
        <f t="shared" si="42"/>
        <v>92675.253434478451</v>
      </c>
      <c r="AD62" s="294">
        <f t="shared" ref="AD62:AT62" si="44">-AD61/AD60</f>
        <v>5080.2809452130978</v>
      </c>
      <c r="AE62" s="294">
        <f t="shared" si="44"/>
        <v>32462.959763962601</v>
      </c>
      <c r="AF62" s="294">
        <f t="shared" si="44"/>
        <v>2532801.5990014677</v>
      </c>
      <c r="AG62" s="294">
        <f t="shared" si="44"/>
        <v>123132.17840384295</v>
      </c>
      <c r="AH62" s="294">
        <f t="shared" si="44"/>
        <v>409140.54837025137</v>
      </c>
      <c r="AI62" s="294">
        <f>-AI61/AI60</f>
        <v>-96336.464097677934</v>
      </c>
      <c r="AJ62" s="294">
        <f t="shared" si="44"/>
        <v>897687.73849762895</v>
      </c>
      <c r="AK62" s="294">
        <f t="shared" si="44"/>
        <v>4204707.4310250208</v>
      </c>
      <c r="AL62" s="294">
        <f t="shared" si="44"/>
        <v>-177910.34918884886</v>
      </c>
      <c r="AM62" s="294">
        <f t="shared" si="44"/>
        <v>7857124.2641059849</v>
      </c>
      <c r="AN62" s="294">
        <f t="shared" si="44"/>
        <v>-456305.20902118686</v>
      </c>
      <c r="AO62" s="294">
        <f t="shared" si="44"/>
        <v>-921762.26703415974</v>
      </c>
      <c r="AP62" s="294">
        <f t="shared" si="44"/>
        <v>764743.43545499246</v>
      </c>
      <c r="AQ62" s="294">
        <f t="shared" si="44"/>
        <v>402888.97560933215</v>
      </c>
      <c r="AR62" s="294">
        <f t="shared" ref="AR62:AS62" si="45">-AR61/AR60</f>
        <v>647730.43255961244</v>
      </c>
      <c r="AS62" s="294">
        <f t="shared" si="45"/>
        <v>-983952.92740777892</v>
      </c>
      <c r="AT62" s="294">
        <f t="shared" si="44"/>
        <v>6335020.8728554556</v>
      </c>
      <c r="AU62" s="444">
        <f>-AU61/AU60</f>
        <v>13983112.941241909</v>
      </c>
      <c r="AV62" s="444">
        <f>-AV61/AV60</f>
        <v>86128338.711612597</v>
      </c>
    </row>
    <row r="63" spans="1:48" x14ac:dyDescent="0.25">
      <c r="B63" s="292"/>
    </row>
    <row r="67" spans="4:67" x14ac:dyDescent="0.25">
      <c r="D67" s="293"/>
    </row>
    <row r="70" spans="4:67" x14ac:dyDescent="0.25"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</row>
    <row r="71" spans="4:67" x14ac:dyDescent="0.25"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</row>
    <row r="72" spans="4:67" x14ac:dyDescent="0.25"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</row>
    <row r="73" spans="4:67" x14ac:dyDescent="0.25">
      <c r="BD73" s="343"/>
      <c r="BE73" s="343"/>
      <c r="BF73" s="343"/>
      <c r="BG73" s="343"/>
      <c r="BH73" s="343"/>
      <c r="BI73" s="343"/>
      <c r="BJ73" s="343"/>
      <c r="BK73" s="343"/>
      <c r="BL73" s="343"/>
      <c r="BM73" s="343"/>
      <c r="BN73" s="343"/>
      <c r="BO73" s="343"/>
    </row>
    <row r="136" spans="17:17" x14ac:dyDescent="0.25">
      <c r="Q136" s="445"/>
    </row>
    <row r="137" spans="17:17" x14ac:dyDescent="0.25">
      <c r="Q137" s="335">
        <f>Q110</f>
        <v>0</v>
      </c>
    </row>
    <row r="138" spans="17:17" x14ac:dyDescent="0.25">
      <c r="Q138" s="75">
        <f>Q112</f>
        <v>0</v>
      </c>
    </row>
    <row r="139" spans="17:17" x14ac:dyDescent="0.25">
      <c r="Q139" s="445"/>
    </row>
    <row r="140" spans="17:17" x14ac:dyDescent="0.25">
      <c r="Q140" s="336">
        <f>Q137-Q134</f>
        <v>0</v>
      </c>
    </row>
    <row r="141" spans="17:17" x14ac:dyDescent="0.25">
      <c r="Q141" s="75">
        <f>Q138-Q135</f>
        <v>0</v>
      </c>
    </row>
  </sheetData>
  <printOptions horizontalCentered="1"/>
  <pageMargins left="0.2" right="0.2" top="0.5" bottom="0.5" header="0.05" footer="0.05"/>
  <pageSetup scale="58" fitToWidth="0" orientation="landscape" r:id="rId1"/>
  <colBreaks count="1" manualBreakCount="1">
    <brk id="48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77"/>
  <sheetViews>
    <sheetView zoomScale="70" zoomScaleNormal="70" workbookViewId="0">
      <pane xSplit="1" ySplit="1" topLeftCell="HL2" activePane="bottomRight" state="frozen"/>
      <selection activeCell="C23" sqref="C23"/>
      <selection pane="topRight" activeCell="C23" sqref="C23"/>
      <selection pane="bottomLeft" activeCell="C23" sqref="C23"/>
      <selection pane="bottomRight" activeCell="N36" sqref="N36"/>
    </sheetView>
  </sheetViews>
  <sheetFormatPr defaultColWidth="9.140625" defaultRowHeight="15" x14ac:dyDescent="0.25"/>
  <cols>
    <col min="1" max="1" width="5.28515625" style="279" bestFit="1" customWidth="1"/>
    <col min="2" max="2" width="43.7109375" style="279" bestFit="1" customWidth="1"/>
    <col min="3" max="3" width="16.140625" style="279" customWidth="1"/>
    <col min="4" max="5" width="14.28515625" style="279" bestFit="1" customWidth="1"/>
    <col min="6" max="6" width="13.85546875" style="279" bestFit="1" customWidth="1"/>
    <col min="7" max="7" width="15.28515625" style="279" bestFit="1" customWidth="1"/>
    <col min="8" max="8" width="17.5703125" style="279" customWidth="1"/>
    <col min="9" max="9" width="5.5703125" style="279" bestFit="1" customWidth="1"/>
    <col min="10" max="10" width="51.7109375" style="279" bestFit="1" customWidth="1"/>
    <col min="11" max="11" width="9.42578125" style="279" bestFit="1" customWidth="1"/>
    <col min="12" max="14" width="15.7109375" style="279" customWidth="1"/>
    <col min="15" max="15" width="18.5703125" style="279" bestFit="1" customWidth="1"/>
    <col min="16" max="16" width="20.85546875" style="279" bestFit="1" customWidth="1"/>
    <col min="17" max="17" width="9.28515625" style="279" bestFit="1" customWidth="1"/>
    <col min="18" max="18" width="35.42578125" style="279" bestFit="1" customWidth="1"/>
    <col min="19" max="19" width="4.5703125" style="279" bestFit="1" customWidth="1"/>
    <col min="20" max="21" width="14.140625" style="279" customWidth="1"/>
    <col min="22" max="22" width="16" style="279" customWidth="1"/>
    <col min="23" max="23" width="14.140625" style="279" customWidth="1"/>
    <col min="24" max="24" width="16.7109375" style="279" customWidth="1"/>
    <col min="25" max="25" width="5.28515625" style="279" bestFit="1" customWidth="1"/>
    <col min="26" max="26" width="33.140625" style="279" customWidth="1"/>
    <col min="27" max="27" width="5" style="279" bestFit="1" customWidth="1"/>
    <col min="28" max="31" width="16.85546875" style="279" customWidth="1"/>
    <col min="32" max="32" width="14.5703125" style="279" bestFit="1" customWidth="1"/>
    <col min="33" max="33" width="9.42578125" style="279" bestFit="1" customWidth="1"/>
    <col min="34" max="34" width="65.28515625" style="279" customWidth="1"/>
    <col min="35" max="35" width="10.28515625" style="279" bestFit="1" customWidth="1"/>
    <col min="36" max="36" width="17.42578125" style="279" customWidth="1"/>
    <col min="37" max="37" width="12.42578125" style="279" customWidth="1"/>
    <col min="38" max="38" width="19.42578125" style="279" customWidth="1"/>
    <col min="39" max="39" width="13.28515625" style="279" customWidth="1"/>
    <col min="40" max="40" width="16.5703125" style="279" bestFit="1" customWidth="1"/>
    <col min="41" max="41" width="12.140625" style="279" bestFit="1" customWidth="1"/>
    <col min="42" max="42" width="54.28515625" style="279" customWidth="1"/>
    <col min="43" max="43" width="4.7109375" style="279" bestFit="1" customWidth="1"/>
    <col min="44" max="45" width="16" style="279" customWidth="1"/>
    <col min="46" max="46" width="12.42578125" style="279" bestFit="1" customWidth="1"/>
    <col min="47" max="47" width="12.28515625" style="279" bestFit="1" customWidth="1"/>
    <col min="48" max="48" width="14.7109375" style="279" bestFit="1" customWidth="1"/>
    <col min="49" max="49" width="6.28515625" style="279" bestFit="1" customWidth="1"/>
    <col min="50" max="50" width="45.85546875" style="279" customWidth="1"/>
    <col min="51" max="51" width="5" style="279" bestFit="1" customWidth="1"/>
    <col min="52" max="53" width="14.85546875" style="279" bestFit="1" customWidth="1"/>
    <col min="54" max="54" width="16.28515625" style="279" bestFit="1" customWidth="1"/>
    <col min="55" max="55" width="14.85546875" style="279" bestFit="1" customWidth="1"/>
    <col min="56" max="56" width="15" style="279" bestFit="1" customWidth="1"/>
    <col min="57" max="57" width="14" style="279" bestFit="1" customWidth="1"/>
    <col min="58" max="58" width="9.28515625" style="279" bestFit="1" customWidth="1"/>
    <col min="59" max="59" width="45" style="279" customWidth="1"/>
    <col min="60" max="60" width="4.28515625" style="279" customWidth="1"/>
    <col min="61" max="61" width="13" style="279" customWidth="1"/>
    <col min="62" max="62" width="12.140625" style="279" customWidth="1"/>
    <col min="63" max="64" width="14.140625" style="279" bestFit="1" customWidth="1"/>
    <col min="65" max="65" width="13.28515625" style="279" bestFit="1" customWidth="1"/>
    <col min="66" max="66" width="5.28515625" style="279" bestFit="1" customWidth="1"/>
    <col min="67" max="67" width="47.140625" style="279" bestFit="1" customWidth="1"/>
    <col min="68" max="68" width="4.7109375" style="279" bestFit="1" customWidth="1"/>
    <col min="69" max="69" width="13.7109375" style="279" customWidth="1"/>
    <col min="70" max="70" width="14.28515625" style="279" customWidth="1"/>
    <col min="71" max="71" width="15.28515625" style="279" customWidth="1"/>
    <col min="72" max="72" width="13.7109375" style="279" customWidth="1"/>
    <col min="73" max="73" width="14.7109375" style="279" bestFit="1" customWidth="1"/>
    <col min="74" max="74" width="9.28515625" style="279" bestFit="1" customWidth="1"/>
    <col min="75" max="75" width="31.140625" style="279" bestFit="1" customWidth="1"/>
    <col min="76" max="76" width="10.7109375" style="279" bestFit="1" customWidth="1"/>
    <col min="77" max="78" width="10.5703125" style="279" customWidth="1"/>
    <col min="79" max="79" width="13.85546875" style="279" bestFit="1" customWidth="1"/>
    <col min="80" max="80" width="10.42578125" style="279" bestFit="1" customWidth="1"/>
    <col min="81" max="81" width="14.7109375" style="279" bestFit="1" customWidth="1"/>
    <col min="82" max="82" width="9.28515625" style="279" bestFit="1" customWidth="1"/>
    <col min="83" max="83" width="49.5703125" style="279" bestFit="1" customWidth="1"/>
    <col min="84" max="84" width="9.140625" style="279"/>
    <col min="85" max="89" width="13.42578125" style="279" customWidth="1"/>
    <col min="90" max="90" width="9.28515625" style="279" bestFit="1" customWidth="1"/>
    <col min="91" max="91" width="46.85546875" style="279" bestFit="1" customWidth="1"/>
    <col min="92" max="92" width="4.7109375" style="279" bestFit="1" customWidth="1"/>
    <col min="93" max="96" width="13.7109375" style="279" customWidth="1"/>
    <col min="97" max="97" width="13.85546875" style="279" customWidth="1"/>
    <col min="98" max="98" width="5.140625" style="279" bestFit="1" customWidth="1"/>
    <col min="99" max="99" width="48.140625" style="279" customWidth="1"/>
    <col min="100" max="100" width="6.42578125" style="279" customWidth="1"/>
    <col min="101" max="101" width="13.28515625" style="279" bestFit="1" customWidth="1"/>
    <col min="102" max="102" width="12.5703125" style="279" customWidth="1"/>
    <col min="103" max="103" width="16.28515625" style="279" bestFit="1" customWidth="1"/>
    <col min="104" max="104" width="14.140625" style="279" bestFit="1" customWidth="1"/>
    <col min="105" max="105" width="14.7109375" style="279" bestFit="1" customWidth="1"/>
    <col min="106" max="106" width="9.28515625" style="279" bestFit="1" customWidth="1"/>
    <col min="107" max="107" width="39.5703125" style="279" bestFit="1" customWidth="1"/>
    <col min="108" max="108" width="5.5703125" style="279" customWidth="1"/>
    <col min="109" max="109" width="13.85546875" style="279" bestFit="1" customWidth="1"/>
    <col min="110" max="110" width="14.7109375" style="279" bestFit="1" customWidth="1"/>
    <col min="111" max="111" width="13.85546875" style="279" bestFit="1" customWidth="1"/>
    <col min="112" max="112" width="14.7109375" style="279" bestFit="1" customWidth="1"/>
    <col min="113" max="113" width="13.7109375" style="279" bestFit="1" customWidth="1"/>
    <col min="114" max="114" width="9.28515625" style="279" bestFit="1" customWidth="1"/>
    <col min="115" max="115" width="39.5703125" style="279" bestFit="1" customWidth="1"/>
    <col min="116" max="116" width="4.7109375" style="279" bestFit="1" customWidth="1"/>
    <col min="117" max="118" width="13.42578125" style="279" bestFit="1" customWidth="1"/>
    <col min="119" max="119" width="15.140625" style="279" bestFit="1" customWidth="1"/>
    <col min="120" max="120" width="14.85546875" style="279" bestFit="1" customWidth="1"/>
    <col min="121" max="121" width="13.28515625" style="279" bestFit="1" customWidth="1"/>
    <col min="122" max="122" width="9.28515625" style="279" bestFit="1" customWidth="1"/>
    <col min="123" max="123" width="48.42578125" style="279" customWidth="1"/>
    <col min="124" max="124" width="4.7109375" style="279" bestFit="1" customWidth="1"/>
    <col min="125" max="125" width="12.28515625" style="279" customWidth="1"/>
    <col min="126" max="126" width="12.7109375" style="279" customWidth="1"/>
    <col min="127" max="127" width="13.85546875" style="279" bestFit="1" customWidth="1"/>
    <col min="128" max="128" width="12.28515625" style="279" bestFit="1" customWidth="1"/>
    <col min="129" max="129" width="13.85546875" style="279" bestFit="1" customWidth="1"/>
    <col min="130" max="130" width="5.5703125" style="279" bestFit="1" customWidth="1"/>
    <col min="131" max="131" width="31.7109375" style="279" customWidth="1"/>
    <col min="132" max="132" width="4.7109375" style="279" bestFit="1" customWidth="1"/>
    <col min="133" max="133" width="13.85546875" style="279" bestFit="1" customWidth="1"/>
    <col min="134" max="134" width="11.5703125" style="279" bestFit="1" customWidth="1"/>
    <col min="135" max="135" width="11.85546875" style="279" customWidth="1"/>
    <col min="136" max="136" width="12.140625" style="279" bestFit="1" customWidth="1"/>
    <col min="137" max="137" width="13.42578125" style="279" bestFit="1" customWidth="1"/>
    <col min="138" max="138" width="5.28515625" style="279" bestFit="1" customWidth="1"/>
    <col min="139" max="139" width="30.7109375" style="279" bestFit="1" customWidth="1"/>
    <col min="140" max="140" width="4.140625" style="279" customWidth="1"/>
    <col min="141" max="142" width="16.28515625" style="279" bestFit="1" customWidth="1"/>
    <col min="143" max="143" width="14.140625" style="279" customWidth="1"/>
    <col min="144" max="144" width="16.5703125" style="279" customWidth="1"/>
    <col min="145" max="145" width="16.85546875" style="279" bestFit="1" customWidth="1"/>
    <col min="146" max="146" width="7.5703125" style="279" customWidth="1"/>
    <col min="147" max="147" width="60" style="279" customWidth="1"/>
    <col min="148" max="148" width="4.5703125" style="279" customWidth="1"/>
    <col min="149" max="149" width="15.85546875" style="279" customWidth="1"/>
    <col min="150" max="150" width="14.7109375" style="279" customWidth="1"/>
    <col min="151" max="151" width="15.5703125" style="279" customWidth="1"/>
    <col min="152" max="152" width="14.28515625" style="279" customWidth="1"/>
    <col min="153" max="153" width="13.7109375" style="279" customWidth="1"/>
    <col min="154" max="154" width="5.28515625" style="279" bestFit="1" customWidth="1"/>
    <col min="155" max="155" width="46.28515625" style="279" bestFit="1" customWidth="1"/>
    <col min="156" max="156" width="9.28515625" style="279" bestFit="1" customWidth="1"/>
    <col min="157" max="157" width="11.7109375" style="279" bestFit="1" customWidth="1"/>
    <col min="158" max="158" width="11.28515625" style="279" bestFit="1" customWidth="1"/>
    <col min="159" max="159" width="13.85546875" style="279" customWidth="1"/>
    <col min="160" max="160" width="12.140625" style="279" bestFit="1" customWidth="1"/>
    <col min="161" max="161" width="13.42578125" style="279" bestFit="1" customWidth="1"/>
    <col min="162" max="162" width="9.28515625" style="279" bestFit="1" customWidth="1"/>
    <col min="163" max="163" width="67" style="279" bestFit="1" customWidth="1"/>
    <col min="164" max="164" width="7.28515625" style="279" customWidth="1"/>
    <col min="165" max="165" width="13.7109375" style="279" customWidth="1"/>
    <col min="166" max="166" width="12.28515625" style="279" customWidth="1"/>
    <col min="167" max="167" width="13.85546875" style="279" bestFit="1" customWidth="1"/>
    <col min="168" max="168" width="12.140625" style="279" bestFit="1" customWidth="1"/>
    <col min="169" max="169" width="14.85546875" style="279" customWidth="1"/>
    <col min="170" max="170" width="5.28515625" style="279" bestFit="1" customWidth="1"/>
    <col min="171" max="171" width="71.85546875" style="279" bestFit="1" customWidth="1"/>
    <col min="172" max="175" width="9.28515625" style="279" bestFit="1" customWidth="1"/>
    <col min="176" max="176" width="12.7109375" style="279" bestFit="1" customWidth="1"/>
    <col min="177" max="177" width="13.85546875" style="279" bestFit="1" customWidth="1"/>
    <col min="178" max="178" width="5.28515625" style="279" bestFit="1" customWidth="1"/>
    <col min="179" max="179" width="36.28515625" style="279" bestFit="1" customWidth="1"/>
    <col min="180" max="180" width="5.140625" style="279" bestFit="1" customWidth="1"/>
    <col min="181" max="182" width="12.42578125" style="279" bestFit="1" customWidth="1"/>
    <col min="183" max="183" width="13.7109375" style="279" bestFit="1" customWidth="1"/>
    <col min="184" max="184" width="12.42578125" style="279" bestFit="1" customWidth="1"/>
    <col min="185" max="185" width="13.85546875" style="279" bestFit="1" customWidth="1"/>
    <col min="186" max="186" width="9.28515625" style="279" bestFit="1" customWidth="1"/>
    <col min="187" max="187" width="47" style="279" customWidth="1"/>
    <col min="188" max="188" width="6.85546875" style="279" customWidth="1"/>
    <col min="189" max="190" width="12.7109375" style="279" customWidth="1"/>
    <col min="191" max="191" width="14.5703125" style="279" customWidth="1"/>
    <col min="192" max="192" width="15.140625" style="279" bestFit="1" customWidth="1"/>
    <col min="193" max="193" width="14.42578125" style="279" customWidth="1"/>
    <col min="194" max="194" width="9.28515625" style="279" bestFit="1" customWidth="1"/>
    <col min="195" max="195" width="47" style="279" customWidth="1"/>
    <col min="196" max="196" width="6.85546875" style="279" customWidth="1"/>
    <col min="197" max="198" width="12.7109375" style="279" customWidth="1"/>
    <col min="199" max="199" width="14.5703125" style="279" customWidth="1"/>
    <col min="200" max="200" width="12.85546875" style="279" customWidth="1"/>
    <col min="201" max="201" width="14.42578125" style="279" customWidth="1"/>
    <col min="202" max="202" width="8.28515625" style="5" customWidth="1"/>
    <col min="203" max="203" width="34.5703125" style="5" bestFit="1" customWidth="1"/>
    <col min="204" max="204" width="6" style="5" customWidth="1"/>
    <col min="205" max="208" width="13.7109375" style="5" bestFit="1" customWidth="1"/>
    <col min="209" max="209" width="13.85546875" style="5" bestFit="1" customWidth="1"/>
    <col min="210" max="210" width="9.28515625" style="279" bestFit="1" customWidth="1"/>
    <col min="211" max="211" width="27.7109375" style="279" customWidth="1"/>
    <col min="212" max="212" width="11.140625" style="279" customWidth="1"/>
    <col min="213" max="215" width="14.7109375" style="279" customWidth="1"/>
    <col min="216" max="216" width="12.140625" style="279" bestFit="1" customWidth="1"/>
    <col min="217" max="217" width="13.85546875" style="279" bestFit="1" customWidth="1"/>
    <col min="218" max="218" width="9.28515625" style="279" bestFit="1" customWidth="1"/>
    <col min="219" max="219" width="38.28515625" style="279" customWidth="1"/>
    <col min="220" max="220" width="8.42578125" style="279" customWidth="1"/>
    <col min="221" max="221" width="12.85546875" style="279" customWidth="1"/>
    <col min="222" max="222" width="13.42578125" style="279" bestFit="1" customWidth="1"/>
    <col min="223" max="223" width="13.28515625" style="279" customWidth="1"/>
    <col min="224" max="224" width="13.42578125" style="279" bestFit="1" customWidth="1"/>
    <col min="225" max="225" width="13.85546875" style="279" bestFit="1" customWidth="1"/>
    <col min="226" max="226" width="9.28515625" style="279" bestFit="1" customWidth="1"/>
    <col min="227" max="227" width="69" style="279" customWidth="1"/>
    <col min="228" max="228" width="7.140625" style="279" bestFit="1" customWidth="1"/>
    <col min="229" max="231" width="14.7109375" style="279" customWidth="1"/>
    <col min="232" max="232" width="12.140625" style="279" bestFit="1" customWidth="1"/>
    <col min="233" max="233" width="13.7109375" style="279" bestFit="1" customWidth="1"/>
    <col min="234" max="235" width="9.140625" style="279"/>
    <col min="236" max="236" width="11.28515625" style="279" bestFit="1" customWidth="1"/>
    <col min="237" max="240" width="9.140625" style="279"/>
    <col min="241" max="241" width="13.7109375" style="279" bestFit="1" customWidth="1"/>
    <col min="242" max="16384" width="9.140625" style="279"/>
  </cols>
  <sheetData>
    <row r="1" spans="1:241" s="266" customFormat="1" ht="14.45" customHeight="1" thickBot="1" x14ac:dyDescent="0.25">
      <c r="G1" s="266">
        <f>ROUND('Detailed Summary'!D44-F45,0)</f>
        <v>0</v>
      </c>
      <c r="H1" s="266">
        <f>ROUND('Detailed Summary'!Z44-H45,0)</f>
        <v>0</v>
      </c>
      <c r="P1" s="266">
        <f>ROUND(+'Detailed Summary'!AA44-P32,0)</f>
        <v>0</v>
      </c>
      <c r="AD1" s="266">
        <f>ROUND(+'Detailed Summary'!G44-AD22+AD24,0)</f>
        <v>0</v>
      </c>
      <c r="AF1" s="266">
        <f>ROUND(+'Detailed Summary'!AB44-AF22,0)</f>
        <v>0</v>
      </c>
      <c r="AL1" s="266">
        <f>ROUND(+'Detailed Summary'!H44-AL45,0)</f>
        <v>0</v>
      </c>
      <c r="AT1" s="266">
        <f>ROUND(+'Detailed Summary'!I44-AT21,0)</f>
        <v>0</v>
      </c>
      <c r="BB1" s="266">
        <f>ROUND(+'Detailed Summary'!J44-BB19,0)</f>
        <v>0</v>
      </c>
      <c r="BK1" s="266">
        <f>ROUND(+'Detailed Summary'!K44-BK30,0)</f>
        <v>0</v>
      </c>
      <c r="BS1" s="266">
        <f>ROUND(+'Detailed Summary'!L44-BS20,0)</f>
        <v>0</v>
      </c>
      <c r="BU1" s="266">
        <f>ROUND(+'Detailed Summary'!AC44-BU20,0)</f>
        <v>0</v>
      </c>
      <c r="CA1" s="266">
        <f>ROUND(+'Detailed Summary'!M44-CA22,0)</f>
        <v>0</v>
      </c>
      <c r="CC1" s="266">
        <f>ROUND(+'Detailed Summary'!AD44-CC22,0)</f>
        <v>0</v>
      </c>
      <c r="CI1" s="266">
        <f>ROUND(+'Detailed Summary'!N44-CI16,0)</f>
        <v>0</v>
      </c>
      <c r="CQ1" s="266">
        <f>ROUND(+'Detailed Summary'!O44-CQ20,0)</f>
        <v>0</v>
      </c>
      <c r="CY1" s="266">
        <f>ROUND(+'Detailed Summary'!P44-CY19,0)</f>
        <v>0</v>
      </c>
      <c r="DG1" s="266">
        <f>ROUND(+'Detailed Summary'!AE44-DI19,0)</f>
        <v>0</v>
      </c>
      <c r="DO1" s="266">
        <f>ROUND(+'Detailed Summary'!R44-DO31,0)</f>
        <v>0</v>
      </c>
      <c r="DQ1" s="266">
        <f>ROUND(+'Detailed Summary'!AF44-DQ31,0)</f>
        <v>0</v>
      </c>
      <c r="DW1" s="266">
        <f>ROUND(+'Detailed Summary'!S44-DW34,0)</f>
        <v>0</v>
      </c>
      <c r="DY1" s="266">
        <f>ROUND(+'Detailed Summary'!AG44-DY34,0)</f>
        <v>0</v>
      </c>
      <c r="EE1" s="266">
        <f>ROUND('Detailed Summary'!T44-EE25,0)</f>
        <v>0</v>
      </c>
      <c r="EG1" s="266">
        <f>ROUND(+'Detailed Summary'!AH44-EG25,0)</f>
        <v>0</v>
      </c>
      <c r="EM1" s="266">
        <f>ROUND(+'Detailed Summary'!U57-EM20,0)</f>
        <v>0</v>
      </c>
      <c r="EU1" s="266">
        <f>'Detailed Summary'!V44-'Common Adj'!EU26</f>
        <v>0</v>
      </c>
      <c r="EV1" s="266">
        <f>'Detailed Summary'!V57-'Common Adj'!EU31</f>
        <v>0</v>
      </c>
      <c r="FE1" s="266">
        <f>+'Detailed Summary'!AI44-FE20</f>
        <v>0</v>
      </c>
      <c r="FM1" s="266">
        <f>ROUND(+'Detailed Summary'!AJ44-FM19,0)</f>
        <v>0</v>
      </c>
      <c r="FT1" s="266">
        <f>ROUND(+'Detailed Summary'!AK57-FU26,0)</f>
        <v>0</v>
      </c>
      <c r="FU1" s="266">
        <f>ROUND(+'Detailed Summary'!AK44-FU38,0)</f>
        <v>0</v>
      </c>
      <c r="GC1" s="266">
        <f>ROUND(+'Detailed Summary'!AL44-GC32,0)</f>
        <v>0</v>
      </c>
      <c r="GJ1" s="266">
        <f>ROUND(+'Detailed Summary'!AM57-GK27,0)</f>
        <v>0</v>
      </c>
      <c r="GK1" s="266">
        <f>ROUND(+'Detailed Summary'!AM44-GK38,0)</f>
        <v>0</v>
      </c>
      <c r="GS1" s="266">
        <f>ROUND(+'Detailed Summary'!AN44-GS20,0)</f>
        <v>0</v>
      </c>
      <c r="GZ1" s="266">
        <f>ROUND(+'Detailed Summary'!AO57-HA16,0)</f>
        <v>0</v>
      </c>
      <c r="HA1" s="266">
        <f>ROUND(+'Detailed Summary'!AO44+HA20,0)</f>
        <v>0</v>
      </c>
      <c r="HH1" s="266">
        <f>ROUND(+'Detailed Summary'!AP57-HI18,0)</f>
        <v>0</v>
      </c>
      <c r="HI1" s="266">
        <f>ROUND(+'Detailed Summary'!AP44-HI27,0)</f>
        <v>0</v>
      </c>
      <c r="HQ1" s="266">
        <f>ROUND(+'Detailed Summary'!AQ44-HQ22,0)</f>
        <v>0</v>
      </c>
      <c r="HX1" s="266">
        <f>ROUND(+'Detailed Summary'!AR44-HY30,0)</f>
        <v>0</v>
      </c>
      <c r="HY1" s="266">
        <f>ROUND(+'Detailed Summary'!AR57-HY19,0)</f>
        <v>0</v>
      </c>
      <c r="IG1" s="266">
        <f>ROUND(+'Detailed Summary'!BA44-IG20,0)</f>
        <v>0</v>
      </c>
    </row>
    <row r="2" spans="1:241" x14ac:dyDescent="0.25">
      <c r="G2" s="374"/>
      <c r="H2" s="359" t="str">
        <f>DOCKETNUMBER_GAS</f>
        <v>UG_________</v>
      </c>
      <c r="N2" s="7"/>
      <c r="O2" s="374"/>
      <c r="P2" s="359" t="str">
        <f>DOCKETNUMBER_GAS</f>
        <v>UG_________</v>
      </c>
      <c r="W2" s="374"/>
      <c r="X2" s="359" t="str">
        <f>DOCKETNUMBER_GAS</f>
        <v>UG_________</v>
      </c>
      <c r="AE2" s="362"/>
      <c r="AF2" s="359" t="str">
        <f>DOCKETNUMBER_GAS</f>
        <v>UG_________</v>
      </c>
      <c r="AM2" s="362"/>
      <c r="AN2" s="359" t="str">
        <f>DOCKETNUMBER_GAS</f>
        <v>UG_________</v>
      </c>
      <c r="AU2" s="362"/>
      <c r="AV2" s="359" t="str">
        <f>DOCKETNUMBER_GAS</f>
        <v>UG_________</v>
      </c>
      <c r="BD2" s="362"/>
      <c r="BE2" s="359" t="str">
        <f>DOCKETNUMBER_GAS</f>
        <v>UG_________</v>
      </c>
      <c r="BL2" s="362"/>
      <c r="BM2" s="359" t="str">
        <f>DOCKETNUMBER_GAS</f>
        <v>UG_________</v>
      </c>
      <c r="BT2" s="362"/>
      <c r="BU2" s="359" t="str">
        <f>DOCKETNUMBER_GAS</f>
        <v>UG_________</v>
      </c>
      <c r="CB2" s="362"/>
      <c r="CC2" s="359" t="str">
        <f>DOCKETNUMBER_GAS</f>
        <v>UG_________</v>
      </c>
      <c r="CJ2" s="362"/>
      <c r="CK2" s="359" t="str">
        <f>DOCKETNUMBER_GAS</f>
        <v>UG_________</v>
      </c>
      <c r="CR2" s="362"/>
      <c r="CS2" s="359" t="str">
        <f>DOCKETNUMBER_GAS</f>
        <v>UG_________</v>
      </c>
      <c r="CZ2" s="362"/>
      <c r="DA2" s="359" t="str">
        <f>DOCKETNUMBER_GAS</f>
        <v>UG_________</v>
      </c>
      <c r="DH2" s="362"/>
      <c r="DI2" s="359" t="str">
        <f>DOCKETNUMBER_GAS</f>
        <v>UG_________</v>
      </c>
      <c r="DP2" s="362"/>
      <c r="DQ2" s="359" t="str">
        <f>DOCKETNUMBER_GAS</f>
        <v>UG_________</v>
      </c>
      <c r="DX2" s="362"/>
      <c r="DY2" s="359" t="str">
        <f>DOCKETNUMBER_GAS</f>
        <v>UG_________</v>
      </c>
      <c r="EF2" s="362"/>
      <c r="EG2" s="359" t="str">
        <f>DOCKETNUMBER_GAS</f>
        <v>UG_________</v>
      </c>
      <c r="EN2" s="362"/>
      <c r="EO2" s="359" t="str">
        <f>DOCKETNUMBER_GAS</f>
        <v>UG_________</v>
      </c>
      <c r="EV2" s="362"/>
      <c r="EW2" s="359" t="str">
        <f>DOCKETNUMBER_GAS</f>
        <v>UG_________</v>
      </c>
      <c r="FD2" s="362"/>
      <c r="FE2" s="359" t="str">
        <f>DOCKETNUMBER_GAS</f>
        <v>UG_________</v>
      </c>
      <c r="FL2" s="362"/>
      <c r="FM2" s="359" t="str">
        <f>DOCKETNUMBER_GAS</f>
        <v>UG_________</v>
      </c>
      <c r="FT2" s="362"/>
      <c r="FU2" s="359" t="str">
        <f>DOCKETNUMBER_GAS</f>
        <v>UG_________</v>
      </c>
      <c r="GB2" s="362"/>
      <c r="GC2" s="359" t="str">
        <f>DOCKETNUMBER_GAS</f>
        <v>UG_________</v>
      </c>
      <c r="GJ2" s="362"/>
      <c r="GK2" s="359" t="str">
        <f>DOCKETNUMBER_GAS</f>
        <v>UG_________</v>
      </c>
      <c r="GR2" s="362"/>
      <c r="GS2" s="359" t="str">
        <f>DOCKETNUMBER_GAS</f>
        <v>UG_________</v>
      </c>
      <c r="GZ2" s="362"/>
      <c r="HA2" s="359" t="str">
        <f>DOCKETNUMBER_GAS</f>
        <v>UG_________</v>
      </c>
      <c r="HH2" s="362"/>
      <c r="HI2" s="359" t="str">
        <f>DOCKETNUMBER_GAS</f>
        <v>UG_________</v>
      </c>
      <c r="HP2" s="362"/>
      <c r="HQ2" s="359" t="str">
        <f>DOCKETNUMBER_GAS</f>
        <v>UG_________</v>
      </c>
      <c r="HR2" s="5"/>
      <c r="HS2" s="5"/>
      <c r="HT2" s="5"/>
      <c r="HU2" s="5"/>
      <c r="HV2" s="5"/>
      <c r="HW2" s="5"/>
      <c r="HX2" s="362"/>
      <c r="HY2" s="359" t="str">
        <f>DOCKETNUMBER_GAS</f>
        <v>UG_________</v>
      </c>
    </row>
    <row r="3" spans="1:241" ht="15.75" thickBot="1" x14ac:dyDescent="0.3">
      <c r="G3" s="375"/>
      <c r="H3" s="360" t="s">
        <v>520</v>
      </c>
      <c r="N3" s="7"/>
      <c r="O3" s="375"/>
      <c r="P3" s="360" t="s">
        <v>444</v>
      </c>
      <c r="W3" s="375"/>
      <c r="X3" s="360" t="s">
        <v>509</v>
      </c>
      <c r="AE3" s="361"/>
      <c r="AF3" s="361" t="s">
        <v>445</v>
      </c>
      <c r="AM3" s="361"/>
      <c r="AN3" s="361" t="s">
        <v>446</v>
      </c>
      <c r="AU3" s="361"/>
      <c r="AV3" s="361" t="s">
        <v>447</v>
      </c>
      <c r="BD3" s="361"/>
      <c r="BE3" s="361" t="s">
        <v>448</v>
      </c>
      <c r="BL3" s="361"/>
      <c r="BM3" s="361" t="s">
        <v>449</v>
      </c>
      <c r="BT3" s="361"/>
      <c r="BU3" s="361" t="s">
        <v>450</v>
      </c>
      <c r="CB3" s="361"/>
      <c r="CC3" s="361" t="s">
        <v>451</v>
      </c>
      <c r="CJ3" s="361"/>
      <c r="CK3" s="361" t="s">
        <v>452</v>
      </c>
      <c r="CR3" s="361"/>
      <c r="CS3" s="361" t="s">
        <v>453</v>
      </c>
      <c r="CZ3" s="361"/>
      <c r="DA3" s="361" t="s">
        <v>454</v>
      </c>
      <c r="DH3" s="361"/>
      <c r="DI3" s="361" t="s">
        <v>455</v>
      </c>
      <c r="DP3" s="361"/>
      <c r="DQ3" s="361" t="s">
        <v>456</v>
      </c>
      <c r="DX3" s="361"/>
      <c r="DY3" s="361" t="s">
        <v>457</v>
      </c>
      <c r="EF3" s="361"/>
      <c r="EG3" s="361" t="s">
        <v>458</v>
      </c>
      <c r="EN3" s="361"/>
      <c r="EO3" s="361" t="s">
        <v>459</v>
      </c>
      <c r="EV3" s="361"/>
      <c r="EW3" s="361" t="s">
        <v>460</v>
      </c>
      <c r="FD3" s="361"/>
      <c r="FE3" s="361" t="s">
        <v>461</v>
      </c>
      <c r="FL3" s="361"/>
      <c r="FM3" s="361" t="s">
        <v>462</v>
      </c>
      <c r="FT3" s="361"/>
      <c r="FU3" s="361" t="s">
        <v>463</v>
      </c>
      <c r="GB3" s="361"/>
      <c r="GC3" s="361" t="s">
        <v>464</v>
      </c>
      <c r="GJ3" s="361"/>
      <c r="GK3" s="361" t="s">
        <v>465</v>
      </c>
      <c r="GR3" s="361"/>
      <c r="GS3" s="361" t="s">
        <v>466</v>
      </c>
      <c r="GZ3" s="361"/>
      <c r="HA3" s="361" t="s">
        <v>467</v>
      </c>
      <c r="HH3" s="361"/>
      <c r="HI3" s="361" t="s">
        <v>468</v>
      </c>
      <c r="HP3" s="361"/>
      <c r="HQ3" s="361" t="s">
        <v>469</v>
      </c>
      <c r="HR3" s="5"/>
      <c r="HS3" s="5"/>
      <c r="HT3" s="5"/>
      <c r="HU3" s="5"/>
      <c r="HV3" s="5"/>
      <c r="HW3" s="5"/>
      <c r="HX3" s="361"/>
      <c r="HY3" s="361" t="s">
        <v>470</v>
      </c>
    </row>
    <row r="4" spans="1:241" s="278" customFormat="1" thickBot="1" x14ac:dyDescent="0.25">
      <c r="A4" s="17"/>
      <c r="B4" s="17"/>
      <c r="C4" s="17"/>
      <c r="D4" s="17"/>
      <c r="E4" s="17"/>
      <c r="F4" s="17"/>
      <c r="G4" s="17"/>
      <c r="EO4" s="192"/>
      <c r="GT4" s="134"/>
      <c r="GU4" s="134"/>
      <c r="GV4" s="134"/>
      <c r="GW4" s="134"/>
      <c r="GX4" s="134"/>
      <c r="GY4" s="134"/>
      <c r="GZ4" s="134"/>
      <c r="HA4" s="134"/>
      <c r="HR4" s="134"/>
      <c r="HS4" s="134"/>
      <c r="HT4" s="134"/>
      <c r="HU4" s="134"/>
      <c r="HV4" s="134"/>
      <c r="HW4" s="134"/>
      <c r="HX4" s="134"/>
      <c r="HY4" s="134"/>
      <c r="IG4" s="203"/>
    </row>
    <row r="5" spans="1:241" s="134" customFormat="1" ht="12.75" x14ac:dyDescent="0.2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500" t="str">
        <f>Comp_GAS</f>
        <v>PUGET SOUND ENERGY - NATURAL GAS</v>
      </c>
      <c r="EQ5" s="500"/>
      <c r="ER5" s="500"/>
      <c r="ES5" s="500"/>
      <c r="ET5" s="500"/>
      <c r="EU5" s="500"/>
      <c r="EV5" s="500"/>
      <c r="EW5" s="500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500" t="str">
        <f>Comp_GAS</f>
        <v>PUGET SOUND ENERGY - NATURAL GAS</v>
      </c>
      <c r="FO5" s="500"/>
      <c r="FP5" s="500"/>
      <c r="FQ5" s="500"/>
      <c r="FR5" s="500"/>
      <c r="FS5" s="500"/>
      <c r="FT5" s="500"/>
      <c r="FU5" s="500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500" t="str">
        <f>Comp_GAS</f>
        <v>PUGET SOUND ENERGY - NATURAL GAS</v>
      </c>
      <c r="GE5" s="500"/>
      <c r="GF5" s="500"/>
      <c r="GG5" s="500"/>
      <c r="GH5" s="500"/>
      <c r="GI5" s="500"/>
      <c r="GJ5" s="500"/>
      <c r="GK5" s="500"/>
      <c r="GL5" s="500" t="str">
        <f>Comp_GAS</f>
        <v>PUGET SOUND ENERGY - NATURAL GAS</v>
      </c>
      <c r="GM5" s="500"/>
      <c r="GN5" s="500"/>
      <c r="GO5" s="500"/>
      <c r="GP5" s="500"/>
      <c r="GQ5" s="500"/>
      <c r="GR5" s="500"/>
      <c r="GS5" s="500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500" t="str">
        <f>Comp_GAS</f>
        <v>PUGET SOUND ENERGY - NATURAL GAS</v>
      </c>
      <c r="HC5" s="500"/>
      <c r="HD5" s="500"/>
      <c r="HE5" s="500"/>
      <c r="HF5" s="500"/>
      <c r="HG5" s="500"/>
      <c r="HH5" s="500"/>
      <c r="HI5" s="500"/>
      <c r="HJ5" s="500" t="str">
        <f>Comp_GAS</f>
        <v>PUGET SOUND ENERGY - NATURAL GAS</v>
      </c>
      <c r="HK5" s="500"/>
      <c r="HL5" s="500"/>
      <c r="HM5" s="500"/>
      <c r="HN5" s="500"/>
      <c r="HO5" s="500"/>
      <c r="HP5" s="500"/>
      <c r="HQ5" s="500"/>
      <c r="HR5" s="500" t="str">
        <f>Comp_GAS</f>
        <v>PUGET SOUND ENERGY - NATURAL GAS</v>
      </c>
      <c r="HS5" s="500"/>
      <c r="HT5" s="500"/>
      <c r="HU5" s="500"/>
      <c r="HV5" s="500"/>
      <c r="HW5" s="500"/>
      <c r="HX5" s="500"/>
      <c r="HY5" s="500"/>
      <c r="HZ5" s="500"/>
      <c r="IA5" s="500"/>
      <c r="IB5" s="500"/>
      <c r="IC5" s="500"/>
      <c r="ID5" s="500"/>
      <c r="IE5" s="500"/>
      <c r="IF5" s="500"/>
      <c r="IG5" s="500"/>
    </row>
    <row r="6" spans="1:241" s="113" customFormat="1" ht="14.45" customHeight="1" x14ac:dyDescent="0.2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501" t="s">
        <v>185</v>
      </c>
      <c r="FO6" s="501"/>
      <c r="FP6" s="501"/>
      <c r="FQ6" s="501"/>
      <c r="FR6" s="501"/>
      <c r="FS6" s="501"/>
      <c r="FT6" s="501"/>
      <c r="FU6" s="501"/>
      <c r="FV6" s="110" t="s">
        <v>316</v>
      </c>
      <c r="FW6" s="110"/>
      <c r="FX6" s="110"/>
      <c r="FY6" s="110"/>
      <c r="FZ6" s="110"/>
      <c r="GA6" s="110"/>
      <c r="GB6" s="110"/>
      <c r="GC6" s="110"/>
      <c r="GD6" s="111" t="s">
        <v>388</v>
      </c>
      <c r="GE6" s="110"/>
      <c r="GF6" s="110"/>
      <c r="GG6" s="110"/>
      <c r="GH6" s="110"/>
      <c r="GI6" s="110"/>
      <c r="GJ6" s="110"/>
      <c r="GK6" s="110"/>
      <c r="GL6" s="501" t="s">
        <v>315</v>
      </c>
      <c r="GM6" s="501"/>
      <c r="GN6" s="501"/>
      <c r="GO6" s="501"/>
      <c r="GP6" s="501"/>
      <c r="GQ6" s="501"/>
      <c r="GR6" s="501"/>
      <c r="GS6" s="501"/>
      <c r="GT6" s="110" t="s">
        <v>368</v>
      </c>
      <c r="GU6" s="110"/>
      <c r="GV6" s="110"/>
      <c r="GW6" s="110"/>
      <c r="GX6" s="110"/>
      <c r="GY6" s="110"/>
      <c r="GZ6" s="110"/>
      <c r="HA6" s="110"/>
      <c r="HB6" s="501" t="s">
        <v>400</v>
      </c>
      <c r="HC6" s="501"/>
      <c r="HD6" s="501"/>
      <c r="HE6" s="501"/>
      <c r="HF6" s="501"/>
      <c r="HG6" s="501"/>
      <c r="HH6" s="501"/>
      <c r="HI6" s="501"/>
      <c r="HJ6" s="501" t="s">
        <v>365</v>
      </c>
      <c r="HK6" s="501"/>
      <c r="HL6" s="501"/>
      <c r="HM6" s="501"/>
      <c r="HN6" s="501"/>
      <c r="HO6" s="501"/>
      <c r="HP6" s="501"/>
      <c r="HQ6" s="501"/>
      <c r="HR6" s="501" t="s">
        <v>401</v>
      </c>
      <c r="HS6" s="501"/>
      <c r="HT6" s="501"/>
      <c r="HU6" s="501"/>
      <c r="HV6" s="501"/>
      <c r="HW6" s="501"/>
      <c r="HX6" s="501"/>
      <c r="HY6" s="501"/>
      <c r="HZ6" s="501"/>
      <c r="IA6" s="501"/>
      <c r="IB6" s="501"/>
      <c r="IC6" s="501"/>
      <c r="ID6" s="501"/>
      <c r="IE6" s="501"/>
      <c r="IF6" s="501"/>
      <c r="IG6" s="501"/>
    </row>
    <row r="7" spans="1:241" s="134" customFormat="1" ht="12.75" x14ac:dyDescent="0.2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500" t="str">
        <f>TESTYEAR_GAS</f>
        <v>12 MONTHS ENDED DECEMBER 31, 2018</v>
      </c>
      <c r="EQ7" s="500"/>
      <c r="ER7" s="500"/>
      <c r="ES7" s="500"/>
      <c r="ET7" s="500"/>
      <c r="EU7" s="500"/>
      <c r="EV7" s="500"/>
      <c r="EW7" s="500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500" t="str">
        <f>TESTYEAR_GAS</f>
        <v>12 MONTHS ENDED DECEMBER 31, 2018</v>
      </c>
      <c r="FO7" s="500"/>
      <c r="FP7" s="500"/>
      <c r="FQ7" s="500"/>
      <c r="FR7" s="500"/>
      <c r="FS7" s="500"/>
      <c r="FT7" s="500"/>
      <c r="FU7" s="500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500" t="str">
        <f>TESTYEAR_GAS</f>
        <v>12 MONTHS ENDED DECEMBER 31, 2018</v>
      </c>
      <c r="GE7" s="500"/>
      <c r="GF7" s="500"/>
      <c r="GG7" s="500"/>
      <c r="GH7" s="500"/>
      <c r="GI7" s="500"/>
      <c r="GJ7" s="500"/>
      <c r="GK7" s="500"/>
      <c r="GL7" s="500" t="str">
        <f>TESTYEAR_GAS</f>
        <v>12 MONTHS ENDED DECEMBER 31, 2018</v>
      </c>
      <c r="GM7" s="500"/>
      <c r="GN7" s="500"/>
      <c r="GO7" s="500"/>
      <c r="GP7" s="500"/>
      <c r="GQ7" s="500"/>
      <c r="GR7" s="500"/>
      <c r="GS7" s="500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500" t="str">
        <f>TESTYEAR_GAS</f>
        <v>12 MONTHS ENDED DECEMBER 31, 2018</v>
      </c>
      <c r="HC7" s="500"/>
      <c r="HD7" s="500"/>
      <c r="HE7" s="500"/>
      <c r="HF7" s="500"/>
      <c r="HG7" s="500"/>
      <c r="HH7" s="500"/>
      <c r="HI7" s="500"/>
      <c r="HJ7" s="500" t="str">
        <f>TESTYEAR_GAS</f>
        <v>12 MONTHS ENDED DECEMBER 31, 2018</v>
      </c>
      <c r="HK7" s="500"/>
      <c r="HL7" s="500"/>
      <c r="HM7" s="500"/>
      <c r="HN7" s="500"/>
      <c r="HO7" s="500"/>
      <c r="HP7" s="500"/>
      <c r="HQ7" s="500"/>
      <c r="HR7" s="500" t="str">
        <f>TESTYEAR_GAS</f>
        <v>12 MONTHS ENDED DECEMBER 31, 2018</v>
      </c>
      <c r="HS7" s="500"/>
      <c r="HT7" s="500"/>
      <c r="HU7" s="500"/>
      <c r="HV7" s="500"/>
      <c r="HW7" s="500"/>
      <c r="HX7" s="500"/>
      <c r="HY7" s="500"/>
      <c r="HZ7" s="500"/>
      <c r="IA7" s="500"/>
      <c r="IB7" s="500"/>
      <c r="IC7" s="500"/>
      <c r="ID7" s="500"/>
      <c r="IE7" s="500"/>
      <c r="IF7" s="500"/>
      <c r="IG7" s="500"/>
    </row>
    <row r="8" spans="1:241" s="134" customFormat="1" ht="13.5" thickBot="1" x14ac:dyDescent="0.25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500" t="str">
        <f>CASE_GAS</f>
        <v>2019 GENERAL RATE CASE</v>
      </c>
      <c r="EQ8" s="500"/>
      <c r="ER8" s="500"/>
      <c r="ES8" s="500"/>
      <c r="ET8" s="500"/>
      <c r="EU8" s="500"/>
      <c r="EV8" s="500"/>
      <c r="EW8" s="500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500" t="str">
        <f>CASE_GAS</f>
        <v>2019 GENERAL RATE CASE</v>
      </c>
      <c r="FO8" s="500"/>
      <c r="FP8" s="500"/>
      <c r="FQ8" s="500"/>
      <c r="FR8" s="500"/>
      <c r="FS8" s="500"/>
      <c r="FT8" s="500"/>
      <c r="FU8" s="500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500" t="str">
        <f>CASE_GAS</f>
        <v>2019 GENERAL RATE CASE</v>
      </c>
      <c r="GE8" s="500"/>
      <c r="GF8" s="500"/>
      <c r="GG8" s="500"/>
      <c r="GH8" s="500"/>
      <c r="GI8" s="500"/>
      <c r="GJ8" s="500"/>
      <c r="GK8" s="500"/>
      <c r="GL8" s="500" t="str">
        <f>CASE_GAS</f>
        <v>2019 GENERAL RATE CASE</v>
      </c>
      <c r="GM8" s="500"/>
      <c r="GN8" s="500"/>
      <c r="GO8" s="500"/>
      <c r="GP8" s="500"/>
      <c r="GQ8" s="500"/>
      <c r="GR8" s="500"/>
      <c r="GS8" s="500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500" t="str">
        <f>CASE_GAS</f>
        <v>2019 GENERAL RATE CASE</v>
      </c>
      <c r="HC8" s="500"/>
      <c r="HD8" s="500"/>
      <c r="HE8" s="500"/>
      <c r="HF8" s="500"/>
      <c r="HG8" s="500"/>
      <c r="HH8" s="500"/>
      <c r="HI8" s="500"/>
      <c r="HJ8" s="500" t="str">
        <f>CASE_GAS</f>
        <v>2019 GENERAL RATE CASE</v>
      </c>
      <c r="HK8" s="500"/>
      <c r="HL8" s="500"/>
      <c r="HM8" s="500"/>
      <c r="HN8" s="500"/>
      <c r="HO8" s="500"/>
      <c r="HP8" s="500"/>
      <c r="HQ8" s="500"/>
      <c r="HR8" s="500" t="str">
        <f>CASE_GAS</f>
        <v>2019 GENERAL RATE CASE</v>
      </c>
      <c r="HS8" s="500"/>
      <c r="HT8" s="500"/>
      <c r="HU8" s="500"/>
      <c r="HV8" s="500"/>
      <c r="HW8" s="500"/>
      <c r="HX8" s="500"/>
      <c r="HY8" s="500"/>
      <c r="HZ8" s="500"/>
      <c r="IA8" s="500"/>
      <c r="IB8" s="500"/>
      <c r="IC8" s="500"/>
      <c r="ID8" s="500"/>
      <c r="IE8" s="500"/>
      <c r="IF8" s="500"/>
      <c r="IG8" s="500"/>
    </row>
    <row r="9" spans="1:241" s="134" customFormat="1" ht="13.5" thickBot="1" x14ac:dyDescent="0.25">
      <c r="A9" s="133"/>
      <c r="B9" s="133"/>
      <c r="C9" s="133"/>
      <c r="D9" s="133"/>
      <c r="E9" s="133"/>
      <c r="F9" s="363">
        <f>'Detailed Summary'!D9</f>
        <v>6.01</v>
      </c>
      <c r="G9" s="259"/>
      <c r="H9" s="369">
        <f>'Detailed Summary'!Z9</f>
        <v>6.01</v>
      </c>
      <c r="I9" s="133"/>
      <c r="J9" s="133"/>
      <c r="K9" s="133"/>
      <c r="N9" s="363">
        <f>+'Detailed Summary'!E9</f>
        <v>6.02</v>
      </c>
      <c r="P9" s="369">
        <f>+'Detailed Summary'!AA9</f>
        <v>6.02</v>
      </c>
      <c r="Q9" s="133"/>
      <c r="R9" s="133"/>
      <c r="S9" s="398"/>
      <c r="T9" s="398"/>
      <c r="U9" s="398"/>
      <c r="V9" s="363">
        <f>+'Detailed Summary'!F9</f>
        <v>6.0299999999999994</v>
      </c>
      <c r="W9" s="398"/>
      <c r="X9" s="369" t="s">
        <v>374</v>
      </c>
      <c r="Y9" s="133"/>
      <c r="Z9" s="133"/>
      <c r="AA9" s="133"/>
      <c r="AB9" s="133"/>
      <c r="AC9" s="133"/>
      <c r="AD9" s="363">
        <f>'Detailed Summary'!G9</f>
        <v>6.0399999999999991</v>
      </c>
      <c r="AE9" s="259"/>
      <c r="AF9" s="369">
        <f>'Detailed Summary'!AB9</f>
        <v>6.0399999999999991</v>
      </c>
      <c r="AG9" s="133"/>
      <c r="AH9" s="133"/>
      <c r="AI9" s="133"/>
      <c r="AJ9" s="133"/>
      <c r="AK9" s="133"/>
      <c r="AL9" s="363">
        <f>'Detailed Summary'!H9</f>
        <v>6.0499999999999989</v>
      </c>
      <c r="AM9" s="133"/>
      <c r="AN9" s="358" t="s">
        <v>374</v>
      </c>
      <c r="AO9" s="133"/>
      <c r="AP9" s="133"/>
      <c r="AQ9" s="133"/>
      <c r="AR9" s="133"/>
      <c r="AS9" s="133"/>
      <c r="AT9" s="363">
        <f>'Detailed Summary'!I9</f>
        <v>6.0599999999999987</v>
      </c>
      <c r="AU9" s="133"/>
      <c r="AV9" s="358" t="s">
        <v>374</v>
      </c>
      <c r="AW9" s="133"/>
      <c r="AX9" s="133"/>
      <c r="AY9" s="133"/>
      <c r="AZ9" s="133"/>
      <c r="BA9" s="133"/>
      <c r="BB9" s="363">
        <f>'Detailed Summary'!J9</f>
        <v>6.0699999999999985</v>
      </c>
      <c r="BC9" s="133"/>
      <c r="BD9" s="358" t="s">
        <v>374</v>
      </c>
      <c r="BE9" s="133"/>
      <c r="BF9" s="133"/>
      <c r="BG9" s="133"/>
      <c r="BH9" s="133"/>
      <c r="BI9" s="133"/>
      <c r="BJ9" s="133"/>
      <c r="BK9" s="363">
        <f>'Detailed Summary'!K9</f>
        <v>6.0799999999999983</v>
      </c>
      <c r="BL9" s="133"/>
      <c r="BM9" s="358" t="s">
        <v>374</v>
      </c>
      <c r="BN9" s="133"/>
      <c r="BO9" s="133"/>
      <c r="BP9" s="133"/>
      <c r="BQ9" s="133"/>
      <c r="BR9" s="133"/>
      <c r="BS9" s="363">
        <f>'Detailed Summary'!L9</f>
        <v>6.0899999999999981</v>
      </c>
      <c r="BT9" s="133"/>
      <c r="BU9" s="369">
        <f>'Detailed Summary'!AC9</f>
        <v>6.0899999999999981</v>
      </c>
      <c r="BV9" s="133"/>
      <c r="BW9" s="133"/>
      <c r="BX9" s="133"/>
      <c r="BY9" s="133"/>
      <c r="BZ9" s="133"/>
      <c r="CA9" s="363">
        <f>'Detailed Summary'!M9</f>
        <v>6.0999999999999979</v>
      </c>
      <c r="CB9" s="133"/>
      <c r="CC9" s="369">
        <f>'Detailed Summary'!AD9</f>
        <v>6.0999999999999979</v>
      </c>
      <c r="CD9" s="133"/>
      <c r="CE9" s="133"/>
      <c r="CF9" s="133"/>
      <c r="CG9" s="133"/>
      <c r="CH9" s="133"/>
      <c r="CI9" s="363">
        <f>'Detailed Summary'!N9</f>
        <v>6.1099999999999977</v>
      </c>
      <c r="CJ9" s="133"/>
      <c r="CK9" s="358" t="s">
        <v>374</v>
      </c>
      <c r="CL9" s="133"/>
      <c r="CM9" s="133"/>
      <c r="CN9" s="133"/>
      <c r="CO9" s="133"/>
      <c r="CP9" s="133"/>
      <c r="CQ9" s="363">
        <f>'Detailed Summary'!O9</f>
        <v>6.1199999999999974</v>
      </c>
      <c r="CR9" s="133"/>
      <c r="CS9" s="358" t="s">
        <v>374</v>
      </c>
      <c r="CT9" s="133"/>
      <c r="CU9" s="133"/>
      <c r="CV9" s="133"/>
      <c r="CW9" s="133"/>
      <c r="CX9" s="133"/>
      <c r="CY9" s="363">
        <f>'Detailed Summary'!P9</f>
        <v>6.1299999999999972</v>
      </c>
      <c r="CZ9" s="133"/>
      <c r="DA9" s="358" t="s">
        <v>374</v>
      </c>
      <c r="DB9" s="133"/>
      <c r="DC9" s="133"/>
      <c r="DD9" s="133"/>
      <c r="DE9" s="133"/>
      <c r="DF9" s="133"/>
      <c r="DG9" s="363">
        <f>'Detailed Summary'!Q9</f>
        <v>6.14</v>
      </c>
      <c r="DH9" s="133"/>
      <c r="DI9" s="369">
        <f>'Detailed Summary'!AE9</f>
        <v>6.14</v>
      </c>
      <c r="DJ9" s="133"/>
      <c r="DK9" s="133"/>
      <c r="DL9" s="133"/>
      <c r="DM9" s="133"/>
      <c r="DN9" s="133"/>
      <c r="DO9" s="363">
        <f>'Detailed Summary'!R9</f>
        <v>6.15</v>
      </c>
      <c r="DP9" s="133"/>
      <c r="DQ9" s="369">
        <f>'Detailed Summary'!AF9</f>
        <v>6.15</v>
      </c>
      <c r="DR9" s="133"/>
      <c r="DS9" s="133"/>
      <c r="DT9" s="133"/>
      <c r="DU9" s="133"/>
      <c r="DV9" s="133"/>
      <c r="DW9" s="363">
        <f>'Detailed Summary'!S9</f>
        <v>6.16</v>
      </c>
      <c r="DX9" s="133"/>
      <c r="DY9" s="369">
        <f>'Detailed Summary'!AG9</f>
        <v>6.16</v>
      </c>
      <c r="DZ9" s="133"/>
      <c r="EA9" s="133"/>
      <c r="EB9" s="133"/>
      <c r="EC9" s="133"/>
      <c r="ED9" s="133"/>
      <c r="EE9" s="363">
        <f>'Detailed Summary'!T9</f>
        <v>6.17</v>
      </c>
      <c r="EF9" s="133"/>
      <c r="EG9" s="369">
        <f>'Detailed Summary'!AH9</f>
        <v>6.17</v>
      </c>
      <c r="EH9" s="192"/>
      <c r="EI9" s="192"/>
      <c r="EJ9" s="192"/>
      <c r="EK9" s="192"/>
      <c r="EL9" s="192"/>
      <c r="EM9" s="363">
        <f>'Detailed Summary'!U9</f>
        <v>6.18</v>
      </c>
      <c r="EN9" s="192"/>
      <c r="EO9" s="358" t="s">
        <v>374</v>
      </c>
      <c r="EP9" s="192"/>
      <c r="EQ9" s="192"/>
      <c r="ER9" s="192"/>
      <c r="ES9" s="192"/>
      <c r="ET9" s="192"/>
      <c r="EU9" s="363">
        <f>'Detailed Summary'!V9</f>
        <v>6.19</v>
      </c>
      <c r="EV9" s="192"/>
      <c r="EW9" s="358" t="s">
        <v>374</v>
      </c>
      <c r="EX9" s="133"/>
      <c r="EY9" s="133"/>
      <c r="EZ9" s="133"/>
      <c r="FA9" s="133"/>
      <c r="FB9" s="133"/>
      <c r="FC9" s="358" t="s">
        <v>374</v>
      </c>
      <c r="FD9" s="133"/>
      <c r="FE9" s="369">
        <f>'Detailed Summary'!AI9</f>
        <v>6.2</v>
      </c>
      <c r="FF9" s="191"/>
      <c r="FG9" s="191"/>
      <c r="FH9" s="191"/>
      <c r="FI9" s="191"/>
      <c r="FJ9" s="191"/>
      <c r="FK9" s="358" t="s">
        <v>374</v>
      </c>
      <c r="FL9" s="191"/>
      <c r="FM9" s="369">
        <f>'Detailed Summary'!AJ9</f>
        <v>6.21</v>
      </c>
      <c r="FN9" s="192"/>
      <c r="FS9" s="358" t="s">
        <v>374</v>
      </c>
      <c r="FU9" s="369">
        <f>'Detailed Summary'!AK9</f>
        <v>6.22</v>
      </c>
      <c r="FV9" s="192"/>
      <c r="GA9" s="364">
        <f>'Detailed Summary'!W9</f>
        <v>6.23</v>
      </c>
      <c r="GC9" s="369">
        <f>'Detailed Summary'!AL9</f>
        <v>6.2299999999999995</v>
      </c>
      <c r="GD9" s="192"/>
      <c r="GI9" s="358" t="s">
        <v>374</v>
      </c>
      <c r="GK9" s="369">
        <f>'Detailed Summary'!AM9</f>
        <v>6.2399999999999993</v>
      </c>
      <c r="GL9" s="192"/>
      <c r="GQ9" s="358" t="s">
        <v>374</v>
      </c>
      <c r="GS9" s="369">
        <f>'Detailed Summary'!AN9</f>
        <v>6.2499999999999991</v>
      </c>
      <c r="GT9" s="192"/>
      <c r="GY9" s="358" t="s">
        <v>374</v>
      </c>
      <c r="HA9" s="369">
        <f>'Detailed Summary'!AO9</f>
        <v>6.2599999999999989</v>
      </c>
      <c r="HB9" s="192"/>
      <c r="HG9" s="358" t="s">
        <v>374</v>
      </c>
      <c r="HI9" s="369">
        <f>'Detailed Summary'!AP9</f>
        <v>6.2699999999999987</v>
      </c>
      <c r="HJ9" s="192"/>
      <c r="HO9" s="358" t="s">
        <v>374</v>
      </c>
      <c r="HQ9" s="369">
        <f>'Detailed Summary'!AQ9</f>
        <v>6.2799999999999985</v>
      </c>
      <c r="HR9" s="192"/>
      <c r="HW9" s="358" t="s">
        <v>374</v>
      </c>
      <c r="HY9" s="369">
        <f>'Detailed Summary'!AR9</f>
        <v>6.2899999999999983</v>
      </c>
      <c r="HZ9" s="192"/>
    </row>
    <row r="10" spans="1:241" x14ac:dyDescent="0.25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8"/>
      <c r="HS10" s="458"/>
      <c r="HT10" s="458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 x14ac:dyDescent="0.25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 x14ac:dyDescent="0.25">
      <c r="A12" s="233" t="s">
        <v>37</v>
      </c>
      <c r="B12" s="234" t="s">
        <v>60</v>
      </c>
      <c r="C12" s="235" t="s">
        <v>186</v>
      </c>
      <c r="D12" s="377" t="s">
        <v>190</v>
      </c>
      <c r="E12" s="236" t="s">
        <v>191</v>
      </c>
      <c r="F12" s="378" t="s">
        <v>192</v>
      </c>
      <c r="G12" s="236" t="s">
        <v>193</v>
      </c>
      <c r="H12" s="378" t="s">
        <v>194</v>
      </c>
      <c r="I12" s="64" t="s">
        <v>37</v>
      </c>
      <c r="J12" s="87" t="s">
        <v>60</v>
      </c>
      <c r="K12" s="397" t="s">
        <v>186</v>
      </c>
      <c r="L12" s="396" t="s">
        <v>190</v>
      </c>
      <c r="M12" s="172" t="s">
        <v>191</v>
      </c>
      <c r="N12" s="396" t="s">
        <v>192</v>
      </c>
      <c r="O12" s="172" t="s">
        <v>193</v>
      </c>
      <c r="P12" s="396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6" t="s">
        <v>190</v>
      </c>
      <c r="AC12" s="179" t="s">
        <v>191</v>
      </c>
      <c r="AD12" s="376" t="s">
        <v>192</v>
      </c>
      <c r="AE12" s="179" t="s">
        <v>193</v>
      </c>
      <c r="AF12" s="376" t="s">
        <v>194</v>
      </c>
      <c r="AG12" s="120" t="s">
        <v>37</v>
      </c>
      <c r="AH12" s="121" t="s">
        <v>60</v>
      </c>
      <c r="AI12" s="86" t="s">
        <v>186</v>
      </c>
      <c r="AJ12" s="376" t="s">
        <v>190</v>
      </c>
      <c r="AK12" s="179" t="s">
        <v>191</v>
      </c>
      <c r="AL12" s="376" t="s">
        <v>192</v>
      </c>
      <c r="AM12" s="179" t="s">
        <v>193</v>
      </c>
      <c r="AN12" s="376" t="s">
        <v>194</v>
      </c>
      <c r="AO12" s="64" t="s">
        <v>37</v>
      </c>
      <c r="AP12" s="14" t="s">
        <v>60</v>
      </c>
      <c r="AQ12" s="86" t="s">
        <v>186</v>
      </c>
      <c r="AR12" s="376" t="s">
        <v>190</v>
      </c>
      <c r="AS12" s="179" t="s">
        <v>191</v>
      </c>
      <c r="AT12" s="376" t="s">
        <v>192</v>
      </c>
      <c r="AU12" s="179" t="s">
        <v>193</v>
      </c>
      <c r="AV12" s="376" t="s">
        <v>194</v>
      </c>
      <c r="AW12" s="69" t="s">
        <v>37</v>
      </c>
      <c r="AX12" s="14" t="s">
        <v>60</v>
      </c>
      <c r="AY12" s="86" t="s">
        <v>186</v>
      </c>
      <c r="AZ12" s="376" t="s">
        <v>190</v>
      </c>
      <c r="BA12" s="179" t="s">
        <v>191</v>
      </c>
      <c r="BB12" s="376" t="s">
        <v>192</v>
      </c>
      <c r="BC12" s="179" t="s">
        <v>193</v>
      </c>
      <c r="BD12" s="376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6" t="s">
        <v>190</v>
      </c>
      <c r="BJ12" s="179" t="s">
        <v>191</v>
      </c>
      <c r="BK12" s="376" t="s">
        <v>192</v>
      </c>
      <c r="BL12" s="179" t="s">
        <v>193</v>
      </c>
      <c r="BM12" s="376" t="s">
        <v>194</v>
      </c>
      <c r="BN12" s="175" t="s">
        <v>37</v>
      </c>
      <c r="BO12" s="98" t="s">
        <v>60</v>
      </c>
      <c r="BP12" s="177" t="s">
        <v>186</v>
      </c>
      <c r="BQ12" s="376" t="s">
        <v>190</v>
      </c>
      <c r="BR12" s="179" t="s">
        <v>191</v>
      </c>
      <c r="BS12" s="376" t="s">
        <v>192</v>
      </c>
      <c r="BT12" s="179" t="s">
        <v>193</v>
      </c>
      <c r="BU12" s="376" t="s">
        <v>194</v>
      </c>
      <c r="BV12" s="175" t="s">
        <v>37</v>
      </c>
      <c r="BW12" s="98" t="s">
        <v>60</v>
      </c>
      <c r="BX12" s="177" t="s">
        <v>186</v>
      </c>
      <c r="BY12" s="376" t="s">
        <v>190</v>
      </c>
      <c r="BZ12" s="179" t="s">
        <v>191</v>
      </c>
      <c r="CA12" s="376" t="s">
        <v>192</v>
      </c>
      <c r="CB12" s="179" t="s">
        <v>193</v>
      </c>
      <c r="CC12" s="376" t="s">
        <v>194</v>
      </c>
      <c r="CD12" s="175" t="s">
        <v>37</v>
      </c>
      <c r="CE12" s="98" t="s">
        <v>60</v>
      </c>
      <c r="CF12" s="177" t="s">
        <v>186</v>
      </c>
      <c r="CG12" s="376" t="s">
        <v>190</v>
      </c>
      <c r="CH12" s="179" t="s">
        <v>191</v>
      </c>
      <c r="CI12" s="376" t="s">
        <v>192</v>
      </c>
      <c r="CJ12" s="179" t="s">
        <v>193</v>
      </c>
      <c r="CK12" s="376" t="s">
        <v>194</v>
      </c>
      <c r="CL12" s="64" t="s">
        <v>37</v>
      </c>
      <c r="CM12" s="65" t="s">
        <v>60</v>
      </c>
      <c r="CN12" s="177" t="s">
        <v>186</v>
      </c>
      <c r="CO12" s="376" t="s">
        <v>190</v>
      </c>
      <c r="CP12" s="179" t="s">
        <v>191</v>
      </c>
      <c r="CQ12" s="376" t="s">
        <v>192</v>
      </c>
      <c r="CR12" s="179" t="s">
        <v>193</v>
      </c>
      <c r="CS12" s="376" t="s">
        <v>194</v>
      </c>
      <c r="CT12" s="64" t="s">
        <v>37</v>
      </c>
      <c r="CU12" s="65" t="s">
        <v>60</v>
      </c>
      <c r="CV12" s="177" t="s">
        <v>186</v>
      </c>
      <c r="CW12" s="376" t="s">
        <v>190</v>
      </c>
      <c r="CX12" s="179" t="s">
        <v>191</v>
      </c>
      <c r="CY12" s="376" t="s">
        <v>192</v>
      </c>
      <c r="CZ12" s="179" t="s">
        <v>193</v>
      </c>
      <c r="DA12" s="376" t="s">
        <v>194</v>
      </c>
      <c r="DB12" s="64" t="s">
        <v>37</v>
      </c>
      <c r="DC12" s="65" t="s">
        <v>60</v>
      </c>
      <c r="DD12" s="177" t="s">
        <v>186</v>
      </c>
      <c r="DE12" s="376" t="s">
        <v>190</v>
      </c>
      <c r="DF12" s="179" t="s">
        <v>191</v>
      </c>
      <c r="DG12" s="376" t="s">
        <v>192</v>
      </c>
      <c r="DH12" s="179" t="s">
        <v>193</v>
      </c>
      <c r="DI12" s="376" t="s">
        <v>194</v>
      </c>
      <c r="DJ12" s="64" t="s">
        <v>37</v>
      </c>
      <c r="DK12" s="65" t="s">
        <v>60</v>
      </c>
      <c r="DL12" s="177" t="s">
        <v>186</v>
      </c>
      <c r="DM12" s="376" t="s">
        <v>190</v>
      </c>
      <c r="DN12" s="179" t="s">
        <v>191</v>
      </c>
      <c r="DO12" s="376" t="s">
        <v>192</v>
      </c>
      <c r="DP12" s="179" t="s">
        <v>193</v>
      </c>
      <c r="DQ12" s="376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6" t="s">
        <v>190</v>
      </c>
      <c r="ED12" s="179" t="s">
        <v>191</v>
      </c>
      <c r="EE12" s="376" t="s">
        <v>192</v>
      </c>
      <c r="EF12" s="179" t="s">
        <v>193</v>
      </c>
      <c r="EG12" s="376" t="s">
        <v>194</v>
      </c>
      <c r="EH12" s="64" t="s">
        <v>37</v>
      </c>
      <c r="EI12" s="14" t="s">
        <v>60</v>
      </c>
      <c r="EJ12" s="177" t="s">
        <v>186</v>
      </c>
      <c r="EK12" s="376" t="s">
        <v>190</v>
      </c>
      <c r="EL12" s="179" t="s">
        <v>191</v>
      </c>
      <c r="EM12" s="376" t="s">
        <v>192</v>
      </c>
      <c r="EN12" s="179" t="s">
        <v>193</v>
      </c>
      <c r="EO12" s="376" t="s">
        <v>194</v>
      </c>
      <c r="EP12" s="64" t="s">
        <v>37</v>
      </c>
      <c r="EQ12" s="14" t="s">
        <v>60</v>
      </c>
      <c r="ER12" s="177" t="s">
        <v>186</v>
      </c>
      <c r="ES12" s="376" t="s">
        <v>190</v>
      </c>
      <c r="ET12" s="179" t="s">
        <v>191</v>
      </c>
      <c r="EU12" s="376" t="s">
        <v>192</v>
      </c>
      <c r="EV12" s="179" t="s">
        <v>193</v>
      </c>
      <c r="EW12" s="376" t="s">
        <v>194</v>
      </c>
      <c r="EX12" s="64" t="s">
        <v>37</v>
      </c>
      <c r="EY12" s="14" t="s">
        <v>60</v>
      </c>
      <c r="EZ12" s="177" t="s">
        <v>186</v>
      </c>
      <c r="FA12" s="376" t="s">
        <v>190</v>
      </c>
      <c r="FB12" s="179" t="s">
        <v>191</v>
      </c>
      <c r="FC12" s="376" t="s">
        <v>192</v>
      </c>
      <c r="FD12" s="179" t="s">
        <v>193</v>
      </c>
      <c r="FE12" s="376" t="s">
        <v>194</v>
      </c>
      <c r="FF12" s="179" t="s">
        <v>37</v>
      </c>
      <c r="FG12" s="64" t="s">
        <v>60</v>
      </c>
      <c r="FH12" s="177" t="s">
        <v>186</v>
      </c>
      <c r="FI12" s="376" t="s">
        <v>190</v>
      </c>
      <c r="FJ12" s="179" t="s">
        <v>191</v>
      </c>
      <c r="FK12" s="376" t="s">
        <v>192</v>
      </c>
      <c r="FL12" s="179" t="s">
        <v>193</v>
      </c>
      <c r="FM12" s="376" t="s">
        <v>194</v>
      </c>
      <c r="FN12" s="179" t="s">
        <v>37</v>
      </c>
      <c r="FO12" s="64" t="s">
        <v>60</v>
      </c>
      <c r="FP12" s="177" t="s">
        <v>186</v>
      </c>
      <c r="FQ12" s="376" t="s">
        <v>190</v>
      </c>
      <c r="FR12" s="179" t="s">
        <v>191</v>
      </c>
      <c r="FS12" s="376" t="s">
        <v>192</v>
      </c>
      <c r="FT12" s="179" t="s">
        <v>193</v>
      </c>
      <c r="FU12" s="376" t="s">
        <v>194</v>
      </c>
      <c r="FV12" s="179" t="s">
        <v>37</v>
      </c>
      <c r="FW12" s="64" t="s">
        <v>60</v>
      </c>
      <c r="FX12" s="177" t="s">
        <v>186</v>
      </c>
      <c r="FY12" s="376" t="s">
        <v>190</v>
      </c>
      <c r="FZ12" s="179" t="s">
        <v>191</v>
      </c>
      <c r="GA12" s="376" t="s">
        <v>192</v>
      </c>
      <c r="GB12" s="179" t="s">
        <v>193</v>
      </c>
      <c r="GC12" s="376" t="s">
        <v>194</v>
      </c>
      <c r="GD12" s="179" t="s">
        <v>37</v>
      </c>
      <c r="GE12" s="64" t="s">
        <v>60</v>
      </c>
      <c r="GF12" s="177" t="s">
        <v>186</v>
      </c>
      <c r="GG12" s="376" t="s">
        <v>190</v>
      </c>
      <c r="GH12" s="179" t="s">
        <v>191</v>
      </c>
      <c r="GI12" s="376" t="s">
        <v>192</v>
      </c>
      <c r="GJ12" s="179" t="s">
        <v>193</v>
      </c>
      <c r="GK12" s="376" t="s">
        <v>194</v>
      </c>
      <c r="GL12" s="179" t="s">
        <v>37</v>
      </c>
      <c r="GM12" s="64" t="s">
        <v>60</v>
      </c>
      <c r="GN12" s="177" t="s">
        <v>186</v>
      </c>
      <c r="GO12" s="376" t="s">
        <v>190</v>
      </c>
      <c r="GP12" s="179" t="s">
        <v>191</v>
      </c>
      <c r="GQ12" s="376" t="s">
        <v>192</v>
      </c>
      <c r="GR12" s="179" t="s">
        <v>193</v>
      </c>
      <c r="GS12" s="376" t="s">
        <v>194</v>
      </c>
      <c r="GT12" s="179" t="s">
        <v>37</v>
      </c>
      <c r="GU12" s="64" t="s">
        <v>60</v>
      </c>
      <c r="GV12" s="177" t="s">
        <v>186</v>
      </c>
      <c r="GW12" s="376" t="s">
        <v>190</v>
      </c>
      <c r="GX12" s="179" t="s">
        <v>191</v>
      </c>
      <c r="GY12" s="376" t="s">
        <v>192</v>
      </c>
      <c r="GZ12" s="179" t="s">
        <v>193</v>
      </c>
      <c r="HA12" s="376" t="s">
        <v>194</v>
      </c>
      <c r="HB12" s="179" t="s">
        <v>37</v>
      </c>
      <c r="HC12" s="64" t="s">
        <v>60</v>
      </c>
      <c r="HD12" s="177" t="s">
        <v>186</v>
      </c>
      <c r="HE12" s="376" t="s">
        <v>190</v>
      </c>
      <c r="HF12" s="179" t="s">
        <v>191</v>
      </c>
      <c r="HG12" s="376" t="s">
        <v>192</v>
      </c>
      <c r="HH12" s="179" t="s">
        <v>193</v>
      </c>
      <c r="HI12" s="376" t="s">
        <v>194</v>
      </c>
      <c r="HJ12" s="179" t="s">
        <v>37</v>
      </c>
      <c r="HK12" s="64" t="s">
        <v>60</v>
      </c>
      <c r="HL12" s="177" t="s">
        <v>186</v>
      </c>
      <c r="HM12" s="376" t="s">
        <v>190</v>
      </c>
      <c r="HN12" s="179" t="s">
        <v>191</v>
      </c>
      <c r="HO12" s="376" t="s">
        <v>192</v>
      </c>
      <c r="HP12" s="179" t="s">
        <v>193</v>
      </c>
      <c r="HQ12" s="376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 x14ac:dyDescent="0.25">
      <c r="A13" s="379"/>
      <c r="B13" s="379"/>
      <c r="C13" s="379"/>
      <c r="D13" s="379"/>
      <c r="E13" s="379"/>
      <c r="F13" s="380"/>
      <c r="G13" s="380"/>
      <c r="H13" s="380"/>
      <c r="J13" s="345"/>
      <c r="K13" s="345"/>
      <c r="L13" s="345"/>
      <c r="M13" s="345"/>
      <c r="N13" s="345"/>
      <c r="O13" s="345"/>
      <c r="P13" s="345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1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R13" s="5"/>
      <c r="HS13" s="5"/>
      <c r="HT13" s="5"/>
      <c r="HU13" s="5"/>
      <c r="HV13" s="5"/>
      <c r="HW13" s="5"/>
      <c r="HX13" s="5"/>
      <c r="HY13" s="5"/>
    </row>
    <row r="14" spans="1:241" x14ac:dyDescent="0.25">
      <c r="A14" s="237">
        <v>1</v>
      </c>
      <c r="B14" s="371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522</v>
      </c>
      <c r="K14" s="5"/>
      <c r="L14" s="446" t="s">
        <v>523</v>
      </c>
      <c r="M14" s="447"/>
      <c r="N14" s="448"/>
      <c r="O14" s="446" t="s">
        <v>524</v>
      </c>
      <c r="P14" s="448"/>
      <c r="Q14" s="114">
        <v>1</v>
      </c>
      <c r="R14" s="224" t="s">
        <v>106</v>
      </c>
      <c r="S14" s="224"/>
      <c r="T14" s="399">
        <f>+'[7]Lead G'!C23</f>
        <v>31944158.879999999</v>
      </c>
      <c r="U14" s="399">
        <f>+'[7]Lead G'!C16</f>
        <v>20646290.180616394</v>
      </c>
      <c r="V14" s="399">
        <f>U14-T14</f>
        <v>-11297868.699383605</v>
      </c>
      <c r="W14" s="399">
        <f>U14</f>
        <v>20646290.180616394</v>
      </c>
      <c r="X14" s="399">
        <f>W14-U14</f>
        <v>0</v>
      </c>
      <c r="Y14" s="114">
        <v>1</v>
      </c>
      <c r="Z14" s="20" t="s">
        <v>23</v>
      </c>
      <c r="AB14" s="399">
        <v>0</v>
      </c>
      <c r="AC14" s="399">
        <f>+Summary!E57</f>
        <v>2092179523.9832296</v>
      </c>
      <c r="AD14" s="399">
        <f>+Summary!E57</f>
        <v>2092179523.9832296</v>
      </c>
      <c r="AE14" s="399">
        <f>Summary!G57</f>
        <v>2112672665.850872</v>
      </c>
      <c r="AF14" s="399">
        <f>+AE14-AD14</f>
        <v>20493141.867642403</v>
      </c>
      <c r="AG14" s="237">
        <f>AG13+1</f>
        <v>2</v>
      </c>
      <c r="AH14" s="151" t="s">
        <v>254</v>
      </c>
      <c r="AI14" s="124"/>
      <c r="AJ14" s="242">
        <f>+'[8]Lead 3.05  '!D10</f>
        <v>5022860.7894830378</v>
      </c>
      <c r="AK14" s="264">
        <f>+'[8]Lead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+'[9]Lead G'!D13</f>
        <v>-1380897.52</v>
      </c>
      <c r="AS14" s="88">
        <f>+'[9]Lead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314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+'[10]Lead G'!D12</f>
        <v>34660463.048212998</v>
      </c>
      <c r="BR14" s="47">
        <f>+'[10]Lead G'!E12</f>
        <v>34517801.980430998</v>
      </c>
      <c r="BS14" s="47">
        <f>BR14-BQ14</f>
        <v>-142661.06778199971</v>
      </c>
      <c r="BT14" s="47">
        <f>+'[10]Lead G'!G12</f>
        <v>34660463.048212998</v>
      </c>
      <c r="BU14" s="47">
        <f>BT14-BR14</f>
        <v>142661.06778199971</v>
      </c>
      <c r="BV14" s="136">
        <v>1</v>
      </c>
      <c r="BW14" s="180" t="s">
        <v>307</v>
      </c>
      <c r="BX14" s="180"/>
      <c r="BY14" s="182">
        <f>+'[11]Lead G'!$D$12</f>
        <v>60814.661506623946</v>
      </c>
      <c r="BZ14" s="182">
        <f>+'[11]Lead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'[12]Lead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'[13]Lead G'!$D$14</f>
        <v>2033423.3546339665</v>
      </c>
      <c r="CX14" s="24">
        <f>'[13]Lead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'[14]Lead G'!$D$10</f>
        <v>149851.99538199999</v>
      </c>
      <c r="DF14" s="24">
        <f>'[14]Lead G'!$E$10</f>
        <v>121922.86461600001</v>
      </c>
      <c r="DG14" s="24">
        <f>DF14-DE14</f>
        <v>-27929.130765999987</v>
      </c>
      <c r="DH14" s="24">
        <f>'[14]Lead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71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2" t="s">
        <v>26</v>
      </c>
      <c r="EK14" s="183">
        <f>'[6]Lead G'!C11</f>
        <v>4100600279.3772311</v>
      </c>
      <c r="EL14" s="183">
        <f>'[6]Lead G'!D11</f>
        <v>4300940372.1867046</v>
      </c>
      <c r="EM14" s="183">
        <f>EL14-EK14</f>
        <v>200340092.80947351</v>
      </c>
      <c r="EN14" s="183">
        <f>EL14</f>
        <v>4300940372.1867046</v>
      </c>
      <c r="EO14" s="183">
        <f>EN14-EL14</f>
        <v>0</v>
      </c>
      <c r="EP14" s="326">
        <v>1</v>
      </c>
      <c r="EQ14" s="154" t="s">
        <v>404</v>
      </c>
      <c r="ER14" s="106"/>
      <c r="ES14" s="107">
        <f>'[15]Lead Gas'!D14</f>
        <v>107878753.22000001</v>
      </c>
      <c r="ET14" s="107">
        <f>'[15]Lead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352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352</v>
      </c>
      <c r="GF14" s="210"/>
      <c r="GG14" s="249"/>
      <c r="GH14" s="249"/>
      <c r="GI14" s="249"/>
      <c r="GJ14" s="249"/>
      <c r="GK14" s="249"/>
      <c r="GL14" s="326">
        <v>1</v>
      </c>
      <c r="GM14" s="415" t="s">
        <v>241</v>
      </c>
      <c r="GT14" s="114">
        <v>1</v>
      </c>
      <c r="GU14" s="238" t="s">
        <v>369</v>
      </c>
      <c r="GV14" s="210"/>
      <c r="GW14" s="47"/>
      <c r="GX14" s="47"/>
      <c r="GY14" s="47"/>
      <c r="GZ14" s="47"/>
      <c r="HA14" s="47"/>
      <c r="HB14" s="27">
        <v>1</v>
      </c>
      <c r="HC14" s="260" t="s">
        <v>345</v>
      </c>
      <c r="HD14" s="115"/>
      <c r="HE14" s="115"/>
      <c r="HF14" s="115"/>
      <c r="HG14" s="115"/>
      <c r="HH14" s="115"/>
      <c r="HI14" s="115"/>
      <c r="HJ14" s="326">
        <v>1</v>
      </c>
      <c r="HK14" s="224" t="s">
        <v>6</v>
      </c>
      <c r="HM14" s="328">
        <f>'[16]Lead G'!D10</f>
        <v>1477.51</v>
      </c>
      <c r="HN14" s="328">
        <f>'[16]Lead G'!E10</f>
        <v>1477.51</v>
      </c>
      <c r="HO14" s="328">
        <f>HN14-HM14</f>
        <v>0</v>
      </c>
      <c r="HP14" s="328">
        <f>'[16]Lead G'!G10</f>
        <v>1521.84</v>
      </c>
      <c r="HQ14" s="328">
        <f>HP14-HN14</f>
        <v>44.329999999999927</v>
      </c>
      <c r="HR14" s="106">
        <v>1</v>
      </c>
      <c r="HS14" s="154" t="s">
        <v>352</v>
      </c>
      <c r="HT14" s="5"/>
      <c r="HU14" s="5"/>
      <c r="HV14" s="5"/>
      <c r="HW14" s="5"/>
      <c r="HX14" s="5"/>
      <c r="HY14" s="5"/>
    </row>
    <row r="15" spans="1:241" x14ac:dyDescent="0.25">
      <c r="A15" s="237">
        <f t="shared" ref="A15:A48" si="0">+A14+1</f>
        <v>2</v>
      </c>
      <c r="B15" s="370" t="s">
        <v>474</v>
      </c>
      <c r="C15" s="240"/>
      <c r="D15" s="502" t="s">
        <v>483</v>
      </c>
      <c r="E15" s="407"/>
      <c r="F15" s="241">
        <f>+'[17]Gas Lead'!F13</f>
        <v>0</v>
      </c>
      <c r="G15" s="502" t="s">
        <v>483</v>
      </c>
      <c r="H15" s="241">
        <f>+'[17]Gas Lead'!G13</f>
        <v>50971.28</v>
      </c>
      <c r="I15" s="106">
        <f>I14+1</f>
        <v>2</v>
      </c>
      <c r="J15" s="228" t="s">
        <v>494</v>
      </c>
      <c r="K15" s="5"/>
      <c r="L15" s="449">
        <f>+[18]Lead!D10</f>
        <v>248449022.34600002</v>
      </c>
      <c r="M15" s="449">
        <f>+[18]Lead!E10</f>
        <v>250876388.34600002</v>
      </c>
      <c r="N15" s="449">
        <f>M15-L15</f>
        <v>2427366</v>
      </c>
      <c r="O15" s="449">
        <f>[18]Lead!$G$10</f>
        <v>305132982.34599978</v>
      </c>
      <c r="P15" s="450">
        <f>[18]Lead!$H$10</f>
        <v>54256593.999999762</v>
      </c>
      <c r="Q15" s="114">
        <f t="shared" ref="Q15:Q17" si="1">Q14+1</f>
        <v>2</v>
      </c>
      <c r="R15" s="224" t="s">
        <v>107</v>
      </c>
      <c r="S15" s="224"/>
      <c r="T15" s="255">
        <f>+'[7]Lead G'!C24+'[7]Lead G'!C25</f>
        <v>-9558130.5900000036</v>
      </c>
      <c r="U15" s="59">
        <f>+'[7]Lead G'!C17</f>
        <v>523319.51868811855</v>
      </c>
      <c r="V15" s="255">
        <f>U15-T15</f>
        <v>10081450.108688122</v>
      </c>
      <c r="W15" s="400">
        <f>U15</f>
        <v>523319.51868811855</v>
      </c>
      <c r="X15" s="148">
        <f t="shared" ref="X15" si="2">W15-U15</f>
        <v>0</v>
      </c>
      <c r="Y15" s="114">
        <f t="shared" ref="Y15:Y22" si="3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4">AG14+1</f>
        <v>3</v>
      </c>
      <c r="AH15" s="151" t="s">
        <v>255</v>
      </c>
      <c r="AI15" s="125"/>
      <c r="AJ15" s="248">
        <f>+'[8]Lead 3.05  '!D11</f>
        <v>15312447.357404472</v>
      </c>
      <c r="AK15" s="262">
        <f>+'[8]Lead 3.05  '!E11</f>
        <v>0</v>
      </c>
      <c r="AL15" s="248">
        <f t="shared" ref="AL15:AL24" si="5">AK15-AJ15</f>
        <v>-15312447.357404472</v>
      </c>
      <c r="AM15" s="262">
        <f t="shared" ref="AM15:AM24" si="6">AK15</f>
        <v>0</v>
      </c>
      <c r="AN15" s="262">
        <f t="shared" ref="AN15:AN24" si="7">+AM15-AK15</f>
        <v>0</v>
      </c>
      <c r="AO15" s="114">
        <f t="shared" ref="AO15:AO21" si="8">AO14+1</f>
        <v>2</v>
      </c>
      <c r="AP15" s="47" t="s">
        <v>117</v>
      </c>
      <c r="AQ15" s="47"/>
      <c r="AR15" s="89">
        <f>+'[9]Lead G'!D14</f>
        <v>915434.50818377954</v>
      </c>
      <c r="AS15" s="89">
        <f>+'[9]Lead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'[19]Lead G'!$D$12</f>
        <v>4333223.3545110002</v>
      </c>
      <c r="BA15" s="138">
        <f>'[19]Lead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9">BF14+1</f>
        <v>2</v>
      </c>
      <c r="BG15" s="205" t="s">
        <v>294</v>
      </c>
      <c r="BI15" s="138">
        <f>[20]Gas!D14</f>
        <v>6401.1338036276547</v>
      </c>
      <c r="BJ15" s="138">
        <f>[20]Gas!E14</f>
        <v>6786.3900751868023</v>
      </c>
      <c r="BK15" s="138">
        <f>[20]Gas!F14</f>
        <v>385.25627155914754</v>
      </c>
      <c r="BL15" s="138">
        <f>[20]Gas!G14</f>
        <v>6786.3900751868023</v>
      </c>
      <c r="BM15" s="138">
        <f>[20]Gas!H14</f>
        <v>0</v>
      </c>
      <c r="BN15" s="100">
        <v>2</v>
      </c>
      <c r="BO15" s="51" t="s">
        <v>173</v>
      </c>
      <c r="BP15" s="51"/>
      <c r="BQ15" s="159">
        <f>+'[10]Lead G'!D13</f>
        <v>1699067.74</v>
      </c>
      <c r="BR15" s="159">
        <f>+'[10]Lead G'!E13</f>
        <v>1753265.3513399998</v>
      </c>
      <c r="BS15" s="50">
        <f>BR15-BQ15</f>
        <v>54197.611339999828</v>
      </c>
      <c r="BT15" s="159">
        <f>+'[10]Lead G'!G13</f>
        <v>1699067.74</v>
      </c>
      <c r="BU15" s="52">
        <f>BT15-BR15</f>
        <v>-54197.611339999828</v>
      </c>
      <c r="BV15" s="136">
        <f t="shared" ref="BV15:BV22" si="10">BV14+1</f>
        <v>2</v>
      </c>
      <c r="BW15" s="180"/>
      <c r="BX15" s="180"/>
      <c r="BY15" s="465"/>
      <c r="BZ15" s="465"/>
      <c r="CA15" s="465"/>
      <c r="CB15" s="465"/>
      <c r="CC15" s="465"/>
      <c r="CD15" s="16">
        <f t="shared" ref="CD15:CD16" si="11">CD14+1</f>
        <v>2</v>
      </c>
      <c r="CE15" s="154"/>
      <c r="CG15" s="465"/>
      <c r="CH15" s="465"/>
      <c r="CI15" s="465"/>
      <c r="CJ15" s="465"/>
      <c r="CK15" s="465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7">
        <f>SUM(CW14:CW14)</f>
        <v>2033423.3546339665</v>
      </c>
      <c r="CX15" s="467">
        <f>SUM(CX14:CX14)</f>
        <v>3008677.465349237</v>
      </c>
      <c r="CY15" s="467">
        <f>SUM(CY14:CY14)</f>
        <v>975254.11071527051</v>
      </c>
      <c r="CZ15" s="467">
        <f>SUM(CZ14)</f>
        <v>3008677.465349237</v>
      </c>
      <c r="DA15" s="467">
        <f>SUM(DA14)</f>
        <v>0</v>
      </c>
      <c r="DB15" s="16">
        <f t="shared" ref="DB15:DB19" si="13">DB14+1</f>
        <v>2</v>
      </c>
      <c r="DC15" s="154" t="s">
        <v>139</v>
      </c>
      <c r="DD15" s="59"/>
      <c r="DE15" s="56">
        <f>'[14]Lead G'!$D$11</f>
        <v>1079998.6559106729</v>
      </c>
      <c r="DF15" s="56">
        <f>'[14]Lead G'!$E$11</f>
        <v>1174568.4443488119</v>
      </c>
      <c r="DG15" s="105">
        <f>DF15-DE15</f>
        <v>94569.788438139018</v>
      </c>
      <c r="DH15" s="56">
        <f>'[14]Lead G'!$G$11</f>
        <v>1187768.3315261228</v>
      </c>
      <c r="DI15" s="56">
        <f>DH15-DF15</f>
        <v>13199.887177310884</v>
      </c>
      <c r="DJ15" s="27">
        <f t="shared" ref="DJ15:DJ31" si="14">+DJ14+1</f>
        <v>2</v>
      </c>
      <c r="DK15" s="240" t="s">
        <v>294</v>
      </c>
      <c r="DL15" s="180"/>
      <c r="DM15" s="182">
        <f>+'[21]Gas RS + RP'!D13</f>
        <v>87900.023997021053</v>
      </c>
      <c r="DN15" s="182">
        <f>+'[21]Gas RS + RP'!E13</f>
        <v>88886.105385896954</v>
      </c>
      <c r="DO15" s="183">
        <f t="shared" ref="DO15:DO23" si="15">+DN15-DM15</f>
        <v>986.0813888759003</v>
      </c>
      <c r="DP15" s="182">
        <f>+'[21]Gas RS + RP'!G13</f>
        <v>93145.827811614639</v>
      </c>
      <c r="DQ15" s="182">
        <f t="shared" ref="DQ15:DQ23" si="16">+DP15-DN15</f>
        <v>4259.7224257176858</v>
      </c>
      <c r="DR15" s="27">
        <f t="shared" ref="DR15:DR34" si="17">DR14+1</f>
        <v>2</v>
      </c>
      <c r="DS15" s="153" t="s">
        <v>147</v>
      </c>
      <c r="DT15" s="27"/>
      <c r="DU15" s="183">
        <f>+[22]Gas!D14</f>
        <v>4258316.1606000001</v>
      </c>
      <c r="DV15" s="183">
        <f>+[22]Gas!E14</f>
        <v>4258316.1606000001</v>
      </c>
      <c r="DW15" s="183">
        <f>+DV15-DU15</f>
        <v>0</v>
      </c>
      <c r="DX15" s="183">
        <f>+[22]Gas!G14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'[23]Lead Gas'!D14</f>
        <v>8855913.9655213989</v>
      </c>
      <c r="ED15" s="183">
        <f>'[23]Lead Gas'!E14</f>
        <v>8840311.0115771983</v>
      </c>
      <c r="EE15" s="183">
        <f>ED15-EC15</f>
        <v>-15602.95394420065</v>
      </c>
      <c r="EF15" s="183">
        <f>'[23]Lead Gas'!G14</f>
        <v>9350086.0560744014</v>
      </c>
      <c r="EG15" s="183">
        <f>EF15-ED15</f>
        <v>509775.04449720308</v>
      </c>
      <c r="EH15" s="114">
        <f>EH14+1</f>
        <v>2</v>
      </c>
      <c r="EI15" s="382" t="s">
        <v>27</v>
      </c>
      <c r="EK15" s="148">
        <f>'[6]Lead G'!C12</f>
        <v>-1569795173.3202429</v>
      </c>
      <c r="EL15" s="226">
        <f>'[6]Lead G'!D12</f>
        <v>-1625310954.9975498</v>
      </c>
      <c r="EM15" s="148">
        <f t="shared" ref="EM15:EM19" si="18">EL15-EK15</f>
        <v>-55515781.67730689</v>
      </c>
      <c r="EN15" s="226">
        <f t="shared" ref="EN15:EN19" si="19">EL15</f>
        <v>-1625310954.9975498</v>
      </c>
      <c r="EO15" s="148">
        <f t="shared" ref="EO15:EO19" si="20">EN15-EL15</f>
        <v>0</v>
      </c>
      <c r="EP15" s="326">
        <f>EP14+1</f>
        <v>2</v>
      </c>
      <c r="EQ15" s="224" t="s">
        <v>405</v>
      </c>
      <c r="ER15" s="326"/>
      <c r="ES15" s="226">
        <f>'[15]Lead Gas'!D15</f>
        <v>8928406.3818600178</v>
      </c>
      <c r="ET15" s="226">
        <f>'[15]Lead Gas'!E15</f>
        <v>9523330.3541565742</v>
      </c>
      <c r="EU15" s="226">
        <f>ET15-ES15</f>
        <v>594923.97229655646</v>
      </c>
      <c r="EV15" s="226">
        <f t="shared" ref="EV15" si="21">ET15</f>
        <v>9523330.3541565742</v>
      </c>
      <c r="EW15" s="226">
        <f>EV15-ET15</f>
        <v>0</v>
      </c>
      <c r="EX15" s="106">
        <f t="shared" ref="EX15:EX20" si="22">EX14+1</f>
        <v>2</v>
      </c>
      <c r="EY15" s="5" t="s">
        <v>242</v>
      </c>
      <c r="EZ15" s="5"/>
      <c r="FA15" s="107">
        <f>'[24]Lead G '!$D$16</f>
        <v>116306.4</v>
      </c>
      <c r="FB15" s="107">
        <f>'[24]Lead G '!$E$16</f>
        <v>116306.4</v>
      </c>
      <c r="FC15" s="107">
        <f>FB15-FA15</f>
        <v>0</v>
      </c>
      <c r="FD15" s="107">
        <f>'[24]Lead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525</v>
      </c>
      <c r="FH15" s="36"/>
      <c r="FI15" s="58">
        <f>'[25]Lead Gas'!$D$15</f>
        <v>8603273.5200000051</v>
      </c>
      <c r="FJ15" s="58">
        <f>'[25]Lead Gas'!$E$15</f>
        <v>8603273.5200000051</v>
      </c>
      <c r="FK15" s="12">
        <f>FJ15-FI15</f>
        <v>0</v>
      </c>
      <c r="FL15" s="12">
        <f>'[25]Lead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375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339</v>
      </c>
      <c r="FX15" s="209"/>
      <c r="FY15" s="241">
        <f>+'[26]Lead G'!D11</f>
        <v>525851.89837950014</v>
      </c>
      <c r="FZ15" s="241">
        <f>+'[26]Lead G'!E11</f>
        <v>0</v>
      </c>
      <c r="GA15" s="241">
        <f>FZ15-FY15</f>
        <v>-525851.89837950014</v>
      </c>
      <c r="GB15" s="241">
        <f>+'[26]Lead G'!G11</f>
        <v>0</v>
      </c>
      <c r="GC15" s="241">
        <f>GB15-FZ15</f>
        <v>0</v>
      </c>
      <c r="GD15" s="208">
        <f>+GD14+1</f>
        <v>2</v>
      </c>
      <c r="GE15" s="210" t="s">
        <v>375</v>
      </c>
      <c r="GF15" s="210"/>
      <c r="GG15" s="249"/>
      <c r="GH15" s="249"/>
      <c r="GI15" s="249"/>
      <c r="GJ15" s="249"/>
      <c r="GK15" s="249"/>
      <c r="GL15" s="326">
        <f>GL14+1</f>
        <v>2</v>
      </c>
      <c r="GM15" s="415" t="s">
        <v>242</v>
      </c>
      <c r="GN15" s="5"/>
      <c r="GO15" s="202">
        <f>'[27]Lead G'!$D$16</f>
        <v>597372</v>
      </c>
      <c r="GP15" s="202">
        <f>'[27]Lead G'!$E$16</f>
        <v>597372</v>
      </c>
      <c r="GQ15" s="202">
        <f>GP15-GO15</f>
        <v>0</v>
      </c>
      <c r="GR15" s="202">
        <f>'[27]Lead G'!$G$16</f>
        <v>161804.418725</v>
      </c>
      <c r="GS15" s="202">
        <f>GR15-GP15</f>
        <v>-435567.581275</v>
      </c>
      <c r="GT15" s="114">
        <v>2</v>
      </c>
      <c r="GU15" s="239" t="s">
        <v>370</v>
      </c>
      <c r="GV15" s="210"/>
      <c r="GW15" s="202">
        <f>'[28]Lead G'!$D$14</f>
        <v>-2890521.5106920004</v>
      </c>
      <c r="GX15" s="202">
        <f>GW15</f>
        <v>-2890521.5106920004</v>
      </c>
      <c r="GY15" s="202">
        <f>GX15-GW15</f>
        <v>0</v>
      </c>
      <c r="GZ15" s="202">
        <f>'[28]Lead G'!$G$14</f>
        <v>-2529206.3218555013</v>
      </c>
      <c r="HA15" s="202">
        <f>GZ15-GX15</f>
        <v>361315.18883649912</v>
      </c>
      <c r="HB15" s="27">
        <v>2</v>
      </c>
      <c r="HC15" s="261" t="s">
        <v>346</v>
      </c>
      <c r="HD15" s="115"/>
      <c r="HE15" s="107">
        <v>0</v>
      </c>
      <c r="HF15" s="107">
        <f>+HE15</f>
        <v>0</v>
      </c>
      <c r="HG15" s="107">
        <f>HF15-HE15</f>
        <v>0</v>
      </c>
      <c r="HH15" s="107">
        <f>+'[29]Lead G'!G14</f>
        <v>6264183.9699999997</v>
      </c>
      <c r="HI15" s="107">
        <f>HH15-HG15</f>
        <v>6264183.9699999997</v>
      </c>
      <c r="HJ15" s="326">
        <f>HJ14+1</f>
        <v>2</v>
      </c>
      <c r="HK15" s="224" t="s">
        <v>7</v>
      </c>
      <c r="HL15" s="5"/>
      <c r="HM15" s="226">
        <f>'[16]Lead G'!D11</f>
        <v>1905.79</v>
      </c>
      <c r="HN15" s="226">
        <f>'[16]Lead G'!E11</f>
        <v>1905.79</v>
      </c>
      <c r="HO15" s="226">
        <f t="shared" ref="HO15:HO18" si="23">HN15-HM15</f>
        <v>0</v>
      </c>
      <c r="HP15" s="226">
        <f>'[16]Lead G'!G11</f>
        <v>1963.54</v>
      </c>
      <c r="HQ15" s="226">
        <f t="shared" ref="HQ15:HQ18" si="24">HP15-HN15</f>
        <v>57.75</v>
      </c>
      <c r="HR15" s="106">
        <f>HR14+1</f>
        <v>2</v>
      </c>
      <c r="HS15" s="154" t="s">
        <v>402</v>
      </c>
      <c r="HT15" s="5"/>
      <c r="HU15" s="202"/>
      <c r="HV15" s="202"/>
      <c r="HW15" s="202"/>
      <c r="HX15" s="202"/>
      <c r="HY15" s="202"/>
    </row>
    <row r="16" spans="1:241" ht="15.75" thickBot="1" x14ac:dyDescent="0.3">
      <c r="A16" s="237">
        <f t="shared" si="0"/>
        <v>3</v>
      </c>
      <c r="B16" s="370" t="s">
        <v>475</v>
      </c>
      <c r="C16" s="240"/>
      <c r="D16" s="502"/>
      <c r="E16" s="407"/>
      <c r="F16" s="244">
        <f>+'[17]Gas Lead'!E14</f>
        <v>-39807519.093474321</v>
      </c>
      <c r="G16" s="502"/>
      <c r="H16" s="248">
        <v>0</v>
      </c>
      <c r="I16" s="106">
        <f t="shared" ref="I16:I23" si="25">I15+1</f>
        <v>3</v>
      </c>
      <c r="J16" s="209"/>
      <c r="K16" s="5"/>
      <c r="L16" s="271"/>
      <c r="M16" s="271"/>
      <c r="N16" s="271"/>
      <c r="O16" s="271"/>
      <c r="P16" s="271"/>
      <c r="Q16" s="114">
        <f t="shared" si="1"/>
        <v>3</v>
      </c>
      <c r="R16" s="154"/>
      <c r="S16" s="154"/>
      <c r="T16" s="401"/>
      <c r="U16" s="401"/>
      <c r="V16" s="401"/>
      <c r="W16" s="401"/>
      <c r="X16" s="401"/>
      <c r="Y16" s="114">
        <f t="shared" si="3"/>
        <v>3</v>
      </c>
      <c r="Z16" s="239"/>
      <c r="AB16" s="241"/>
      <c r="AC16" s="241"/>
      <c r="AD16" s="241"/>
      <c r="AE16" s="241"/>
      <c r="AF16" s="312"/>
      <c r="AG16" s="237">
        <f t="shared" si="4"/>
        <v>4</v>
      </c>
      <c r="AH16" s="151" t="s">
        <v>164</v>
      </c>
      <c r="AI16" s="125"/>
      <c r="AJ16" s="248">
        <f>+'[8]Lead 3.05  '!D12</f>
        <v>22625480.126507826</v>
      </c>
      <c r="AK16" s="262">
        <f>+'[8]Lead 3.05  '!E12</f>
        <v>0</v>
      </c>
      <c r="AL16" s="248">
        <f t="shared" si="5"/>
        <v>-22625480.126507826</v>
      </c>
      <c r="AM16" s="262">
        <f t="shared" si="6"/>
        <v>0</v>
      </c>
      <c r="AN16" s="262">
        <f t="shared" si="7"/>
        <v>0</v>
      </c>
      <c r="AO16" s="114">
        <f t="shared" si="8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 t="shared" ref="AT16" si="26"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 t="shared" ref="AW16:AW19" si="27"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9"/>
        <v>3</v>
      </c>
      <c r="BG16" s="205" t="s">
        <v>295</v>
      </c>
      <c r="BI16" s="383">
        <f>[20]Gas!D15</f>
        <v>132672.84419330524</v>
      </c>
      <c r="BJ16" s="383">
        <f>[20]Gas!E15</f>
        <v>139195.59441203115</v>
      </c>
      <c r="BK16" s="383">
        <f>[20]Gas!F15</f>
        <v>6522.7502187259088</v>
      </c>
      <c r="BL16" s="383">
        <f>[20]Gas!G15</f>
        <v>139195.59441203115</v>
      </c>
      <c r="BM16" s="383">
        <f>[20]Gas!H15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0"/>
        <v>3</v>
      </c>
      <c r="BW16" s="180" t="s">
        <v>300</v>
      </c>
      <c r="BX16" s="180"/>
      <c r="BY16" s="466">
        <f t="shared" ref="BY16:CC16" si="28">SUM(BY14:BY15)</f>
        <v>60814.661506623946</v>
      </c>
      <c r="BZ16" s="466">
        <f t="shared" si="28"/>
        <v>55965.26325353235</v>
      </c>
      <c r="CA16" s="466">
        <f t="shared" si="28"/>
        <v>-4849.3982530915964</v>
      </c>
      <c r="CB16" s="466">
        <f t="shared" si="28"/>
        <v>60814.661506623946</v>
      </c>
      <c r="CC16" s="466">
        <f t="shared" si="28"/>
        <v>4849.3982530915964</v>
      </c>
      <c r="CD16" s="16">
        <f t="shared" si="11"/>
        <v>3</v>
      </c>
      <c r="CE16" s="154" t="s">
        <v>80</v>
      </c>
      <c r="CG16" s="13">
        <f>-SUM(CG14:CG15)</f>
        <v>0</v>
      </c>
      <c r="CH16" s="13">
        <f t="shared" ref="CH16:CK16" si="29">-SUM(CH14:CH15)</f>
        <v>-204503.64267608413</v>
      </c>
      <c r="CI16" s="13">
        <f t="shared" si="29"/>
        <v>-204503.64267608413</v>
      </c>
      <c r="CJ16" s="13">
        <f t="shared" si="29"/>
        <v>-204503.64267608413</v>
      </c>
      <c r="CK16" s="13">
        <f t="shared" si="29"/>
        <v>0</v>
      </c>
      <c r="CL16" s="27">
        <f t="shared" si="12"/>
        <v>3</v>
      </c>
      <c r="CM16" s="224" t="s">
        <v>269</v>
      </c>
      <c r="CN16" s="224"/>
      <c r="CO16" s="139">
        <f>'[30]Lead G'!$D$12</f>
        <v>-6029.4623969999993</v>
      </c>
      <c r="CP16" s="139">
        <f>'[30]Lead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 t="shared" si="13"/>
        <v>3</v>
      </c>
      <c r="DC16" s="224" t="s">
        <v>86</v>
      </c>
      <c r="DD16" s="468"/>
      <c r="DE16" s="469">
        <f>SUM(DE14:DE15)</f>
        <v>1229850.6512926728</v>
      </c>
      <c r="DF16" s="469">
        <f>SUM(DF14:DF15)</f>
        <v>1296491.308964812</v>
      </c>
      <c r="DG16" s="469">
        <f>SUM(DG14:DG15)</f>
        <v>66640.65767213903</v>
      </c>
      <c r="DH16" s="469">
        <f>SUM(DH14:DH15)</f>
        <v>1327478.9299383876</v>
      </c>
      <c r="DI16" s="470">
        <f>SUM(DI14:DI15)</f>
        <v>30987.620973575831</v>
      </c>
      <c r="DJ16" s="27">
        <f t="shared" si="14"/>
        <v>3</v>
      </c>
      <c r="DK16" s="240" t="s">
        <v>295</v>
      </c>
      <c r="DL16" s="180"/>
      <c r="DM16" s="190">
        <f>+'[21]Gas RS + RP'!D14</f>
        <v>1821447.3193938991</v>
      </c>
      <c r="DN16" s="161">
        <f>+'[21]Gas RS + RP'!E14</f>
        <v>1823268.7667132928</v>
      </c>
      <c r="DO16" s="162">
        <f t="shared" si="15"/>
        <v>1821.4473193937447</v>
      </c>
      <c r="DP16" s="161">
        <f>+'[21]Gas RS + RP'!G14</f>
        <v>1893099.960478412</v>
      </c>
      <c r="DQ16" s="161">
        <f t="shared" si="16"/>
        <v>69831.193765119184</v>
      </c>
      <c r="DR16" s="27">
        <f t="shared" si="17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'[23]Lead Gas'!D15</f>
        <v>4614715.3414345989</v>
      </c>
      <c r="ED16" s="232">
        <f>'[23]Lead Gas'!E15</f>
        <v>4657270.0677107992</v>
      </c>
      <c r="EE16" s="232">
        <f>ED16-EC16</f>
        <v>42554.726276200265</v>
      </c>
      <c r="EF16" s="232">
        <f>'[23]Lead Gas'!G15</f>
        <v>4928632.6259016003</v>
      </c>
      <c r="EG16" s="479">
        <f>EF16-ED16</f>
        <v>271362.55819080118</v>
      </c>
      <c r="EH16" s="114">
        <f t="shared" ref="EH16:EH20" si="30">EH15+1</f>
        <v>3</v>
      </c>
      <c r="EI16" s="154" t="s">
        <v>28</v>
      </c>
      <c r="EK16" s="148">
        <f>'[6]Lead G'!C13</f>
        <v>-604032300.68879509</v>
      </c>
      <c r="EL16" s="226">
        <f>'[6]Lead G'!D13</f>
        <v>-600273754.652915</v>
      </c>
      <c r="EM16" s="148">
        <f t="shared" si="18"/>
        <v>3758546.0358800888</v>
      </c>
      <c r="EN16" s="226">
        <f t="shared" si="19"/>
        <v>-600273754.652915</v>
      </c>
      <c r="EO16" s="148">
        <f t="shared" si="20"/>
        <v>0</v>
      </c>
      <c r="EP16" s="326">
        <f t="shared" ref="EP16:EP31" si="31">EP15+1</f>
        <v>3</v>
      </c>
      <c r="EQ16" s="154" t="s">
        <v>419</v>
      </c>
      <c r="ER16" s="326"/>
      <c r="ES16" s="226">
        <f>'[15]Lead Gas'!D16</f>
        <v>3292939.59</v>
      </c>
      <c r="ET16" s="226">
        <f>'[15]Lead Gas'!E16</f>
        <v>3442117.919999999</v>
      </c>
      <c r="EU16" s="226">
        <f t="shared" ref="EU16:EU17" si="32">ET16-ES16</f>
        <v>149178.32999999914</v>
      </c>
      <c r="EV16" s="226">
        <f t="shared" ref="EV16:EV17" si="33">ET16</f>
        <v>3442117.919999999</v>
      </c>
      <c r="EW16" s="226">
        <f t="shared" ref="EW16:EW17" si="34">EV16-ET16</f>
        <v>0</v>
      </c>
      <c r="EX16" s="106">
        <f t="shared" si="22"/>
        <v>3</v>
      </c>
      <c r="EY16" s="5"/>
      <c r="EZ16" s="5"/>
      <c r="FA16" s="272"/>
      <c r="FB16" s="272"/>
      <c r="FC16" s="272"/>
      <c r="FD16" s="272"/>
      <c r="FE16" s="272"/>
      <c r="FF16" s="114">
        <f t="shared" ref="FF16:FF19" si="35">FF15+1</f>
        <v>3</v>
      </c>
      <c r="FG16" s="195" t="s">
        <v>161</v>
      </c>
      <c r="FH16" s="11"/>
      <c r="FI16" s="198">
        <f>FI15</f>
        <v>8603273.5200000051</v>
      </c>
      <c r="FJ16" s="198">
        <f t="shared" ref="FJ16:FM16" si="36">FJ15</f>
        <v>8603273.5200000051</v>
      </c>
      <c r="FK16" s="198">
        <f t="shared" si="36"/>
        <v>0</v>
      </c>
      <c r="FL16" s="198">
        <f t="shared" si="36"/>
        <v>9460164.1915668994</v>
      </c>
      <c r="FM16" s="198">
        <f t="shared" si="36"/>
        <v>856890.67156689428</v>
      </c>
      <c r="FN16" s="114">
        <f t="shared" ref="FN16:FN33" si="37">FN15+1</f>
        <v>3</v>
      </c>
      <c r="FO16" s="211" t="s">
        <v>353</v>
      </c>
      <c r="FP16" s="211"/>
      <c r="FQ16" s="241"/>
      <c r="FR16" s="241"/>
      <c r="FS16" s="241">
        <f>+'[31]Lead G'!F16</f>
        <v>0</v>
      </c>
      <c r="FT16" s="241">
        <f>+'[31]Lead G'!G16</f>
        <v>12465833.289999997</v>
      </c>
      <c r="FU16" s="241">
        <f>+FT16-FS16</f>
        <v>12465833.289999997</v>
      </c>
      <c r="FV16" s="27">
        <v>3</v>
      </c>
      <c r="FW16" s="279" t="s">
        <v>417</v>
      </c>
      <c r="FX16" s="209"/>
      <c r="FY16" s="462">
        <f>+'[26]Lead G'!D12</f>
        <v>133121.9008728</v>
      </c>
      <c r="FZ16" s="462">
        <f>+'[26]Lead G'!E12</f>
        <v>0</v>
      </c>
      <c r="GA16" s="462">
        <f>FZ16-FY16</f>
        <v>-133121.9008728</v>
      </c>
      <c r="GB16" s="462">
        <f>+'[26]Lead G'!G12</f>
        <v>0</v>
      </c>
      <c r="GC16" s="462">
        <f t="shared" ref="GC16:GC28" si="38">GB16-FZ16</f>
        <v>0</v>
      </c>
      <c r="GD16" s="208">
        <f t="shared" ref="GD16:GD38" si="39">+GD15+1</f>
        <v>3</v>
      </c>
      <c r="GE16" s="211" t="s">
        <v>376</v>
      </c>
      <c r="GF16" s="211"/>
      <c r="GG16" s="241">
        <f>'[32]Gas Lead '!D16</f>
        <v>0</v>
      </c>
      <c r="GH16" s="241">
        <f>'[32]Gas Lead '!E16</f>
        <v>0</v>
      </c>
      <c r="GI16" s="241">
        <v>0</v>
      </c>
      <c r="GJ16" s="241">
        <f>'[32]Gas Lead '!G16</f>
        <v>10974426.034299001</v>
      </c>
      <c r="GK16" s="241">
        <f t="shared" ref="GK16:GK24" si="40">+GJ16-GI16</f>
        <v>10974426.034299001</v>
      </c>
      <c r="GL16" s="326">
        <f t="shared" ref="GL16:GL20" si="41">GL15+1</f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86">
        <f>SUM(GW15)</f>
        <v>-2890521.5106920004</v>
      </c>
      <c r="GX16" s="486">
        <f t="shared" ref="GX16:HA16" si="42">SUM(GX15)</f>
        <v>-2890521.5106920004</v>
      </c>
      <c r="GY16" s="486">
        <f t="shared" si="42"/>
        <v>0</v>
      </c>
      <c r="GZ16" s="486">
        <f t="shared" si="42"/>
        <v>-2529206.3218555013</v>
      </c>
      <c r="HA16" s="486">
        <f t="shared" si="42"/>
        <v>361315.18883649912</v>
      </c>
      <c r="HB16" s="27">
        <v>3</v>
      </c>
      <c r="HC16" s="261" t="s">
        <v>347</v>
      </c>
      <c r="HD16" s="115"/>
      <c r="HE16" s="157">
        <v>0</v>
      </c>
      <c r="HF16" s="157">
        <f>+HE16</f>
        <v>0</v>
      </c>
      <c r="HG16" s="157">
        <f t="shared" ref="HG16:HI17" si="43">HF16-HE16</f>
        <v>0</v>
      </c>
      <c r="HH16" s="157">
        <f>+'[29]Lead G'!G15</f>
        <v>-259802.34853480852</v>
      </c>
      <c r="HI16" s="159">
        <f t="shared" si="43"/>
        <v>-259802.34853480852</v>
      </c>
      <c r="HJ16" s="326">
        <f t="shared" ref="HJ16:HJ22" si="44">HJ15+1</f>
        <v>3</v>
      </c>
      <c r="HK16" s="224" t="s">
        <v>8</v>
      </c>
      <c r="HL16" s="5"/>
      <c r="HM16" s="226">
        <f>'[16]Lead G'!D12</f>
        <v>16474238.73</v>
      </c>
      <c r="HN16" s="226">
        <f>'[16]Lead G'!E12</f>
        <v>16474238.73</v>
      </c>
      <c r="HO16" s="226">
        <f t="shared" si="23"/>
        <v>0</v>
      </c>
      <c r="HP16" s="226">
        <f>'[16]Lead G'!G12</f>
        <v>16752856.240000002</v>
      </c>
      <c r="HQ16" s="226">
        <f t="shared" si="24"/>
        <v>278617.51000000164</v>
      </c>
      <c r="HR16" s="106">
        <f t="shared" ref="HR16:HR30" si="45">HR15+1</f>
        <v>3</v>
      </c>
      <c r="HS16" s="154" t="s">
        <v>533</v>
      </c>
      <c r="HT16" s="5"/>
      <c r="HU16" s="202">
        <f>'[33]Lead G'!$D$16</f>
        <v>0</v>
      </c>
      <c r="HV16" s="202">
        <f>'[33]Lead G'!$E$16</f>
        <v>0</v>
      </c>
      <c r="HW16" s="202">
        <f>'[33]Lead G'!$F$16</f>
        <v>0</v>
      </c>
      <c r="HX16" s="202">
        <f>'[33]Lead G'!$G$16</f>
        <v>3482430</v>
      </c>
      <c r="HY16" s="202">
        <f>'[33]Lead G'!$H$16</f>
        <v>3482430</v>
      </c>
      <c r="HZ16" s="327"/>
    </row>
    <row r="17" spans="1:236" ht="16.5" thickTop="1" thickBot="1" x14ac:dyDescent="0.3">
      <c r="A17" s="237">
        <f t="shared" si="0"/>
        <v>4</v>
      </c>
      <c r="B17" s="370" t="s">
        <v>476</v>
      </c>
      <c r="C17" s="245"/>
      <c r="D17" s="502"/>
      <c r="E17" s="407"/>
      <c r="F17" s="244">
        <f>+'[17]Gas Lead'!E15</f>
        <v>2929656.4452484697</v>
      </c>
      <c r="G17" s="502"/>
      <c r="H17" s="248">
        <v>0</v>
      </c>
      <c r="I17" s="106">
        <f t="shared" si="25"/>
        <v>4</v>
      </c>
      <c r="J17" s="228" t="s">
        <v>428</v>
      </c>
      <c r="K17" s="5"/>
      <c r="L17" s="451">
        <f>+[18]Lead!D12</f>
        <v>1.7457330262515006E-2</v>
      </c>
      <c r="M17" s="451">
        <f>N17</f>
        <v>1.7457330262515006E-2</v>
      </c>
      <c r="N17" s="451">
        <f>N19/N15</f>
        <v>1.7457330262515006E-2</v>
      </c>
      <c r="O17" s="451">
        <f>P17</f>
        <v>0.64733235256271482</v>
      </c>
      <c r="P17" s="451">
        <f>P19/P15</f>
        <v>0.64733235256271482</v>
      </c>
      <c r="Q17" s="114">
        <f t="shared" si="1"/>
        <v>4</v>
      </c>
      <c r="R17" s="224" t="s">
        <v>108</v>
      </c>
      <c r="S17" s="224"/>
      <c r="T17" s="402">
        <f t="shared" ref="T17:U17" si="46">-SUM(T14:T16)</f>
        <v>-22386028.289999995</v>
      </c>
      <c r="U17" s="402">
        <f t="shared" si="46"/>
        <v>-21169609.699304514</v>
      </c>
      <c r="V17" s="402">
        <f>-SUM(V14:V16)</f>
        <v>1216418.5906954836</v>
      </c>
      <c r="W17" s="402">
        <f t="shared" ref="W17:X17" si="47">-SUM(W14:W16)</f>
        <v>-21169609.699304514</v>
      </c>
      <c r="X17" s="402">
        <f t="shared" si="47"/>
        <v>0</v>
      </c>
      <c r="Y17" s="114">
        <f t="shared" si="3"/>
        <v>4</v>
      </c>
      <c r="Z17" s="239"/>
      <c r="AB17" s="280"/>
      <c r="AC17" s="280"/>
      <c r="AD17" s="280"/>
      <c r="AE17" s="280"/>
      <c r="AF17" s="280"/>
      <c r="AG17" s="237">
        <f t="shared" si="4"/>
        <v>5</v>
      </c>
      <c r="AH17" s="151" t="s">
        <v>256</v>
      </c>
      <c r="AI17" s="125"/>
      <c r="AJ17" s="248">
        <f>+'[8]Lead 3.05  '!D13</f>
        <v>-24621258.285291649</v>
      </c>
      <c r="AK17" s="262">
        <f>+'[8]Lead 3.05  '!E13</f>
        <v>0</v>
      </c>
      <c r="AL17" s="248">
        <f t="shared" si="5"/>
        <v>24621258.285291649</v>
      </c>
      <c r="AM17" s="262">
        <f t="shared" si="6"/>
        <v>0</v>
      </c>
      <c r="AN17" s="262">
        <f t="shared" si="7"/>
        <v>0</v>
      </c>
      <c r="AO17" s="114">
        <f t="shared" si="8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 t="shared" si="27"/>
        <v>4</v>
      </c>
      <c r="AX17" s="194" t="s">
        <v>168</v>
      </c>
      <c r="AY17" s="194"/>
      <c r="AZ17" s="461">
        <f>-AZ15</f>
        <v>-4333223.3545110002</v>
      </c>
      <c r="BA17" s="461">
        <f t="shared" ref="BA17:BD17" si="48">-BA15</f>
        <v>-4491993.9301330792</v>
      </c>
      <c r="BB17" s="461">
        <f t="shared" si="48"/>
        <v>-158770.57562207896</v>
      </c>
      <c r="BC17" s="461">
        <f t="shared" si="48"/>
        <v>-4491993.9301330792</v>
      </c>
      <c r="BD17" s="461">
        <f t="shared" si="48"/>
        <v>0</v>
      </c>
      <c r="BE17" s="40"/>
      <c r="BF17" s="27">
        <f t="shared" si="9"/>
        <v>4</v>
      </c>
      <c r="BG17" s="205" t="s">
        <v>296</v>
      </c>
      <c r="BI17" s="383">
        <f>[20]Gas!D16</f>
        <v>106190.91876733195</v>
      </c>
      <c r="BJ17" s="383">
        <f>[20]Gas!E16</f>
        <v>111578.2529830624</v>
      </c>
      <c r="BK17" s="383">
        <f>[20]Gas!F16</f>
        <v>5387.3342157304432</v>
      </c>
      <c r="BL17" s="383">
        <f>[20]Gas!G16</f>
        <v>111578.2529830624</v>
      </c>
      <c r="BM17" s="383">
        <f>[20]Gas!H16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0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 t="shared" ref="CP17:CS17" si="49">SUM(CP16)</f>
        <v>548500</v>
      </c>
      <c r="CQ17" s="140">
        <f t="shared" si="49"/>
        <v>554529.46239700005</v>
      </c>
      <c r="CR17" s="140">
        <f t="shared" si="49"/>
        <v>548500</v>
      </c>
      <c r="CS17" s="140">
        <f t="shared" si="49"/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 t="shared" si="13"/>
        <v>4</v>
      </c>
      <c r="DC17" s="224"/>
      <c r="DD17" s="154"/>
      <c r="DE17" s="154"/>
      <c r="DF17" s="154"/>
      <c r="DG17" s="154"/>
      <c r="DH17" s="154"/>
      <c r="DI17" s="248"/>
      <c r="DJ17" s="27">
        <f t="shared" si="14"/>
        <v>4</v>
      </c>
      <c r="DK17" s="240" t="s">
        <v>296</v>
      </c>
      <c r="DL17" s="180"/>
      <c r="DM17" s="190">
        <f>+'[21]Gas RS + RP'!D15</f>
        <v>1457876.2514683935</v>
      </c>
      <c r="DN17" s="190">
        <f>+'[21]Gas RS + RP'!E15</f>
        <v>1461357.1134527726</v>
      </c>
      <c r="DO17" s="162">
        <f t="shared" si="15"/>
        <v>3480.8619843791239</v>
      </c>
      <c r="DP17" s="190">
        <f>+'[21]Gas RS + RP'!G15</f>
        <v>1497997.8793014847</v>
      </c>
      <c r="DQ17" s="190">
        <f t="shared" si="16"/>
        <v>36640.765848712064</v>
      </c>
      <c r="DR17" s="27">
        <f t="shared" si="17"/>
        <v>4</v>
      </c>
      <c r="DS17" s="471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 t="shared" ref="ED17:EF17" si="50">SUM(ED15:ED16)</f>
        <v>13497581.079287998</v>
      </c>
      <c r="EE17" s="148">
        <f t="shared" si="50"/>
        <v>26951.772331999615</v>
      </c>
      <c r="EF17" s="148">
        <f t="shared" si="50"/>
        <v>14278718.681976002</v>
      </c>
      <c r="EG17" s="244">
        <f>SUM(EG15:EG16)</f>
        <v>781137.60268800426</v>
      </c>
      <c r="EH17" s="114">
        <f t="shared" si="30"/>
        <v>4</v>
      </c>
      <c r="EI17" s="154" t="s">
        <v>29</v>
      </c>
      <c r="EK17" s="148">
        <f>'[6]Lead G'!C14</f>
        <v>-29952462.162250079</v>
      </c>
      <c r="EL17" s="226">
        <f>'[6]Lead G'!D14</f>
        <v>-26993656.705525</v>
      </c>
      <c r="EM17" s="148">
        <f t="shared" si="18"/>
        <v>2958805.4567250796</v>
      </c>
      <c r="EN17" s="226">
        <f t="shared" si="19"/>
        <v>-26993656.705525</v>
      </c>
      <c r="EO17" s="148">
        <f t="shared" si="20"/>
        <v>0</v>
      </c>
      <c r="EP17" s="326">
        <f t="shared" si="31"/>
        <v>4</v>
      </c>
      <c r="EQ17" s="224" t="s">
        <v>420</v>
      </c>
      <c r="ER17" s="326"/>
      <c r="ES17" s="226">
        <f>'[15]Lead Gas'!D17</f>
        <v>22665497.230383031</v>
      </c>
      <c r="ET17" s="226">
        <f>'[15]Lead Gas'!E17</f>
        <v>30696938.992545016</v>
      </c>
      <c r="EU17" s="226">
        <f t="shared" si="32"/>
        <v>8031441.762161985</v>
      </c>
      <c r="EV17" s="226">
        <f t="shared" si="33"/>
        <v>30696938.992545016</v>
      </c>
      <c r="EW17" s="226">
        <f t="shared" si="34"/>
        <v>0</v>
      </c>
      <c r="EX17" s="106">
        <f t="shared" si="22"/>
        <v>4</v>
      </c>
      <c r="EY17" s="150" t="s">
        <v>243</v>
      </c>
      <c r="EZ17" s="150"/>
      <c r="FA17" s="226">
        <f t="shared" ref="FA17:FD17" si="51">FA15</f>
        <v>116306.4</v>
      </c>
      <c r="FB17" s="226">
        <f t="shared" si="51"/>
        <v>116306.4</v>
      </c>
      <c r="FC17" s="226">
        <f t="shared" si="51"/>
        <v>0</v>
      </c>
      <c r="FD17" s="226">
        <f t="shared" si="51"/>
        <v>24348.123333333362</v>
      </c>
      <c r="FE17" s="226">
        <f>FE15</f>
        <v>-91958.276666666628</v>
      </c>
      <c r="FF17" s="114">
        <f t="shared" si="35"/>
        <v>4</v>
      </c>
      <c r="FG17" s="384"/>
      <c r="FH17" s="239"/>
      <c r="FI17" s="239"/>
      <c r="FJ17" s="239"/>
      <c r="FK17" s="248"/>
      <c r="FL17" s="248"/>
      <c r="FM17" s="244"/>
      <c r="FN17" s="114">
        <f t="shared" si="37"/>
        <v>4</v>
      </c>
      <c r="FO17" s="212" t="s">
        <v>354</v>
      </c>
      <c r="FP17" s="212"/>
      <c r="FQ17" s="244"/>
      <c r="FR17" s="244"/>
      <c r="FS17" s="244">
        <f>+'[31]Lead G'!F17</f>
        <v>0</v>
      </c>
      <c r="FT17" s="244">
        <f>+'[31]Lead G'!G17</f>
        <v>-1019306.0138624996</v>
      </c>
      <c r="FU17" s="244">
        <f>+FT17-FS17</f>
        <v>-1019306.0138624996</v>
      </c>
      <c r="FV17" s="27">
        <v>4</v>
      </c>
      <c r="FW17" s="279" t="s">
        <v>418</v>
      </c>
      <c r="FX17" s="209"/>
      <c r="FY17" s="462">
        <f>+'[26]Lead G'!D13</f>
        <v>0</v>
      </c>
      <c r="FZ17" s="462">
        <f>+'[26]Lead G'!E13</f>
        <v>0</v>
      </c>
      <c r="GA17" s="462">
        <f>FZ17-FY17</f>
        <v>0</v>
      </c>
      <c r="GB17" s="462">
        <f>+'[26]Lead G'!G13</f>
        <v>0</v>
      </c>
      <c r="GC17" s="462">
        <f t="shared" si="38"/>
        <v>0</v>
      </c>
      <c r="GD17" s="208">
        <f>+GD16+1</f>
        <v>4</v>
      </c>
      <c r="GE17" s="212" t="s">
        <v>377</v>
      </c>
      <c r="GF17" s="212"/>
      <c r="GG17" s="244">
        <f>'[32]Gas Lead '!D17</f>
        <v>0</v>
      </c>
      <c r="GH17" s="244">
        <f>'[32]Gas Lead '!E17</f>
        <v>0</v>
      </c>
      <c r="GI17" s="244">
        <v>0</v>
      </c>
      <c r="GJ17" s="244">
        <f>'[32]Gas Lead '!G17</f>
        <v>-4519875.9271734888</v>
      </c>
      <c r="GK17" s="244">
        <f t="shared" si="40"/>
        <v>-4519875.9271734888</v>
      </c>
      <c r="GL17" s="326">
        <f t="shared" si="41"/>
        <v>4</v>
      </c>
      <c r="GM17" s="154" t="s">
        <v>243</v>
      </c>
      <c r="GN17" s="5"/>
      <c r="GO17" s="226">
        <f>GO15</f>
        <v>597372</v>
      </c>
      <c r="GP17" s="226">
        <f t="shared" ref="GP17:GS17" si="52">GP15</f>
        <v>597372</v>
      </c>
      <c r="GQ17" s="226">
        <f t="shared" si="52"/>
        <v>0</v>
      </c>
      <c r="GR17" s="226">
        <f t="shared" si="52"/>
        <v>161804.418725</v>
      </c>
      <c r="GS17" s="226">
        <f t="shared" si="52"/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348</v>
      </c>
      <c r="HD17" s="115"/>
      <c r="HE17" s="157">
        <v>0</v>
      </c>
      <c r="HF17" s="157">
        <f>+HE17</f>
        <v>0</v>
      </c>
      <c r="HG17" s="157">
        <f t="shared" si="43"/>
        <v>0</v>
      </c>
      <c r="HH17" s="157">
        <f>+'[29]Lead G'!G16</f>
        <v>-57733.95656081185</v>
      </c>
      <c r="HI17" s="159">
        <f t="shared" si="43"/>
        <v>-57733.95656081185</v>
      </c>
      <c r="HJ17" s="326">
        <f t="shared" si="44"/>
        <v>4</v>
      </c>
      <c r="HK17" s="224" t="s">
        <v>9</v>
      </c>
      <c r="HL17" s="5"/>
      <c r="HM17" s="148">
        <f>'[16]Lead G'!D13</f>
        <v>7112059.2000000002</v>
      </c>
      <c r="HN17" s="148">
        <f>'[16]Lead G'!E13</f>
        <v>7112059.2000000002</v>
      </c>
      <c r="HO17" s="148">
        <f t="shared" si="23"/>
        <v>0</v>
      </c>
      <c r="HP17" s="148">
        <f>'[16]Lead G'!G13</f>
        <v>7217317.6799999997</v>
      </c>
      <c r="HQ17" s="148">
        <f t="shared" si="24"/>
        <v>105258.47999999952</v>
      </c>
      <c r="HR17" s="106">
        <f t="shared" si="45"/>
        <v>4</v>
      </c>
      <c r="HS17" s="154" t="s">
        <v>526</v>
      </c>
      <c r="HT17" s="5"/>
      <c r="HU17" s="148">
        <f>'[33]Lead G'!$D$17</f>
        <v>0</v>
      </c>
      <c r="HV17" s="148">
        <f>'[33]Lead G'!$E$17</f>
        <v>0</v>
      </c>
      <c r="HW17" s="148">
        <f>'[33]Lead G'!$F$17</f>
        <v>0</v>
      </c>
      <c r="HX17" s="148">
        <f>'[33]Lead G'!$G$17</f>
        <v>-493344.24999999988</v>
      </c>
      <c r="HY17" s="148">
        <f>'[33]Lead G'!$H$17</f>
        <v>-493344.24999999988</v>
      </c>
    </row>
    <row r="18" spans="1:236" ht="16.5" thickTop="1" thickBot="1" x14ac:dyDescent="0.3">
      <c r="A18" s="237">
        <f t="shared" si="0"/>
        <v>5</v>
      </c>
      <c r="B18" s="370" t="s">
        <v>479</v>
      </c>
      <c r="C18" s="245"/>
      <c r="D18" s="502"/>
      <c r="E18" s="407"/>
      <c r="F18" s="244">
        <f>+'[17]Gas Lead'!E16</f>
        <v>-11165964.627245229</v>
      </c>
      <c r="G18" s="502"/>
      <c r="H18" s="248">
        <v>0</v>
      </c>
      <c r="I18" s="106">
        <f t="shared" si="25"/>
        <v>5</v>
      </c>
      <c r="J18" s="229"/>
      <c r="K18" s="5"/>
      <c r="L18" s="271"/>
      <c r="M18" s="271"/>
      <c r="N18" s="271"/>
      <c r="O18" s="271"/>
      <c r="P18" s="271"/>
      <c r="Q18" s="344"/>
      <c r="R18" s="344"/>
      <c r="S18" s="344"/>
      <c r="T18" s="344"/>
      <c r="U18" s="344"/>
      <c r="V18" s="344"/>
      <c r="W18" s="344"/>
      <c r="X18" s="344"/>
      <c r="Y18" s="114">
        <f t="shared" si="3"/>
        <v>5</v>
      </c>
      <c r="Z18" s="20" t="s">
        <v>111</v>
      </c>
      <c r="AB18" s="414"/>
      <c r="AC18" s="343">
        <f>+'COC-Restating'!E11</f>
        <v>2.9399999999999999E-2</v>
      </c>
      <c r="AD18" s="343"/>
      <c r="AE18" s="343">
        <f>+'COC, Def, ConvF'!H12</f>
        <v>2.87E-2</v>
      </c>
      <c r="AF18" s="343"/>
      <c r="AG18" s="237">
        <f t="shared" si="4"/>
        <v>6</v>
      </c>
      <c r="AH18" s="151" t="s">
        <v>257</v>
      </c>
      <c r="AI18" s="125"/>
      <c r="AJ18" s="244">
        <f>+'[8]Lead 3.05  '!D14</f>
        <v>154860.41999999998</v>
      </c>
      <c r="AK18" s="262">
        <f>+'[8]Lead 3.05  '!E14</f>
        <v>0</v>
      </c>
      <c r="AL18" s="244">
        <f t="shared" si="5"/>
        <v>-154860.41999999998</v>
      </c>
      <c r="AM18" s="262">
        <f t="shared" si="6"/>
        <v>0</v>
      </c>
      <c r="AN18" s="262">
        <f t="shared" si="7"/>
        <v>0</v>
      </c>
      <c r="AO18" s="114">
        <f t="shared" si="8"/>
        <v>5</v>
      </c>
      <c r="AP18" s="47" t="s">
        <v>119</v>
      </c>
      <c r="AQ18" s="47"/>
      <c r="AR18" s="88">
        <f>+AR16</f>
        <v>-465463.01181622047</v>
      </c>
      <c r="AS18" s="88">
        <f t="shared" ref="AS18:AV18" si="53">+AS16</f>
        <v>1124814.3630365257</v>
      </c>
      <c r="AT18" s="88">
        <f t="shared" si="53"/>
        <v>1590277.3748527463</v>
      </c>
      <c r="AU18" s="88">
        <f t="shared" si="53"/>
        <v>1124814.3630365257</v>
      </c>
      <c r="AV18" s="88">
        <f t="shared" si="53"/>
        <v>0</v>
      </c>
      <c r="AW18" s="70">
        <f t="shared" si="27"/>
        <v>5</v>
      </c>
      <c r="AX18" s="196" t="s">
        <v>84</v>
      </c>
      <c r="AY18" s="223">
        <f>+FIT_GAS</f>
        <v>0.21</v>
      </c>
      <c r="AZ18" s="462">
        <f>+AZ17*$AY$18</f>
        <v>-909976.90444731002</v>
      </c>
      <c r="BA18" s="462">
        <f>+BA17*$AY$18</f>
        <v>-943318.72532794659</v>
      </c>
      <c r="BB18" s="462">
        <f>BA18-AZ18</f>
        <v>-33341.820880636573</v>
      </c>
      <c r="BC18" s="462">
        <f>BA18</f>
        <v>-943318.72532794659</v>
      </c>
      <c r="BD18" s="462">
        <f>BC18-BA18</f>
        <v>0</v>
      </c>
      <c r="BE18" s="41"/>
      <c r="BF18" s="27">
        <f t="shared" si="9"/>
        <v>5</v>
      </c>
      <c r="BG18" s="205" t="s">
        <v>124</v>
      </c>
      <c r="BI18" s="383">
        <f>[20]Gas!D17</f>
        <v>0</v>
      </c>
      <c r="BJ18" s="383">
        <f>[20]Gas!E17</f>
        <v>0</v>
      </c>
      <c r="BK18" s="383">
        <f>[20]Gas!F17</f>
        <v>0</v>
      </c>
      <c r="BL18" s="383">
        <f>[20]Gas!G17</f>
        <v>0</v>
      </c>
      <c r="BM18" s="383">
        <f>[20]Gas!H17</f>
        <v>0</v>
      </c>
      <c r="BN18" s="100">
        <v>5</v>
      </c>
      <c r="BO18" s="153" t="s">
        <v>175</v>
      </c>
      <c r="BP18" s="153"/>
      <c r="BQ18" s="244">
        <f t="shared" ref="BQ18" si="54">BQ16</f>
        <v>36359530.788213</v>
      </c>
      <c r="BR18" s="244">
        <f t="shared" ref="BR18:BT18" si="55">BR16</f>
        <v>36271067.331771001</v>
      </c>
      <c r="BS18" s="50">
        <f t="shared" ref="BS18:BS19" si="56">BR18-BQ18</f>
        <v>-88463.456441998482</v>
      </c>
      <c r="BT18" s="244">
        <f t="shared" si="55"/>
        <v>36359530.788213</v>
      </c>
      <c r="BU18" s="244">
        <f>BU16</f>
        <v>88463.456441999879</v>
      </c>
      <c r="BV18" s="136">
        <f t="shared" si="10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510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 t="shared" si="13"/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 t="shared" ref="DF18:DI18" si="57">-DF16*$DD$18</f>
        <v>-272263.1748826105</v>
      </c>
      <c r="DG18" s="269">
        <f t="shared" si="57"/>
        <v>-13994.538111149195</v>
      </c>
      <c r="DH18" s="269">
        <f t="shared" si="57"/>
        <v>-278770.57528706139</v>
      </c>
      <c r="DI18" s="269">
        <f t="shared" si="57"/>
        <v>-6507.4004044509247</v>
      </c>
      <c r="DJ18" s="27">
        <f t="shared" si="14"/>
        <v>5</v>
      </c>
      <c r="DK18" s="240" t="s">
        <v>124</v>
      </c>
      <c r="DL18" s="180"/>
      <c r="DM18" s="190">
        <f>+'[21]Gas RS + RP'!D16</f>
        <v>0</v>
      </c>
      <c r="DN18" s="190">
        <f>+'[21]Gas RS + RP'!E16</f>
        <v>0</v>
      </c>
      <c r="DO18" s="162">
        <f t="shared" si="15"/>
        <v>0</v>
      </c>
      <c r="DP18" s="190">
        <f>+'[21]Gas RS + RP'!G16</f>
        <v>0</v>
      </c>
      <c r="DQ18" s="190">
        <f t="shared" si="16"/>
        <v>0</v>
      </c>
      <c r="DR18" s="27">
        <f t="shared" si="17"/>
        <v>5</v>
      </c>
      <c r="DS18" s="153" t="s">
        <v>149</v>
      </c>
      <c r="DT18" s="27"/>
      <c r="DU18" s="184">
        <f>+[22]Gas!D17</f>
        <v>1462408.4927999999</v>
      </c>
      <c r="DV18" s="184">
        <f>+[22]Gas!E17</f>
        <v>1462408.4927999999</v>
      </c>
      <c r="DW18" s="184">
        <f>+DV18-DU18</f>
        <v>0</v>
      </c>
      <c r="DX18" s="184">
        <f>+[22]Gas!G17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30"/>
        <v>5</v>
      </c>
      <c r="EI18" s="154" t="s">
        <v>30</v>
      </c>
      <c r="EK18" s="148">
        <f>'[6]Lead G'!C15</f>
        <v>54431800.053166389</v>
      </c>
      <c r="EL18" s="226">
        <f>'[6]Lead G'!D15</f>
        <v>53555825.759281471</v>
      </c>
      <c r="EM18" s="148">
        <f t="shared" si="18"/>
        <v>-875974.29388491809</v>
      </c>
      <c r="EN18" s="226">
        <f t="shared" si="19"/>
        <v>53555825.759281471</v>
      </c>
      <c r="EO18" s="148">
        <f t="shared" si="20"/>
        <v>0</v>
      </c>
      <c r="EP18" s="326">
        <f t="shared" si="31"/>
        <v>5</v>
      </c>
      <c r="EQ18" s="224" t="s">
        <v>284</v>
      </c>
      <c r="ER18" s="326"/>
      <c r="ES18" s="265">
        <f t="shared" ref="ES18" si="58"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22"/>
        <v>5</v>
      </c>
      <c r="EY18" s="5"/>
      <c r="EZ18" s="5"/>
      <c r="FA18" s="5"/>
      <c r="FB18" s="5"/>
      <c r="FC18" s="5"/>
      <c r="FD18" s="5"/>
      <c r="FE18" s="5"/>
      <c r="FF18" s="114">
        <f t="shared" si="35"/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37"/>
        <v>5</v>
      </c>
      <c r="FO18" s="212" t="s">
        <v>355</v>
      </c>
      <c r="FP18" s="212"/>
      <c r="FQ18" s="244"/>
      <c r="FR18" s="244"/>
      <c r="FS18" s="244">
        <f>+'[31]Lead G'!F18</f>
        <v>0</v>
      </c>
      <c r="FT18" s="244">
        <f>+'[31]Lead G'!G18</f>
        <v>-872688.03016393958</v>
      </c>
      <c r="FU18" s="244">
        <f>+FT18-FS18</f>
        <v>-872688.03016393958</v>
      </c>
      <c r="FV18" s="27">
        <v>5</v>
      </c>
      <c r="FW18" s="279" t="s">
        <v>340</v>
      </c>
      <c r="FX18" s="209"/>
      <c r="FY18" s="462">
        <f>+'[26]Lead G'!D14</f>
        <v>1567215.6078579</v>
      </c>
      <c r="FZ18" s="462">
        <f>+'[26]Lead G'!E14</f>
        <v>1567215.6078579</v>
      </c>
      <c r="GA18" s="462">
        <f t="shared" ref="GA18:GA22" si="59">FZ18-FY18</f>
        <v>0</v>
      </c>
      <c r="GB18" s="462">
        <f>+'[26]Lead G'!G14</f>
        <v>1505385.8006040002</v>
      </c>
      <c r="GC18" s="462">
        <f t="shared" si="38"/>
        <v>-61829.807253899751</v>
      </c>
      <c r="GD18" s="208">
        <f t="shared" si="39"/>
        <v>5</v>
      </c>
      <c r="GE18" s="212" t="s">
        <v>378</v>
      </c>
      <c r="GF18" s="212"/>
      <c r="GG18" s="244">
        <f>'[32]Gas Lead '!D18</f>
        <v>0</v>
      </c>
      <c r="GH18" s="244">
        <f>'[32]Gas Lead '!E18</f>
        <v>0</v>
      </c>
      <c r="GI18" s="244">
        <v>0</v>
      </c>
      <c r="GJ18" s="244">
        <f>'[32]Gas Lead '!G18</f>
        <v>-36545.302130847929</v>
      </c>
      <c r="GK18" s="244">
        <f t="shared" si="40"/>
        <v>-36545.302130847929</v>
      </c>
      <c r="GL18" s="326">
        <f t="shared" si="41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371</v>
      </c>
      <c r="GV18" s="210"/>
      <c r="GW18" s="3"/>
      <c r="GX18" s="3"/>
      <c r="GY18" s="3"/>
      <c r="GZ18" s="3"/>
      <c r="HA18" s="3"/>
      <c r="HB18" s="27">
        <v>5</v>
      </c>
      <c r="HC18" s="151" t="s">
        <v>349</v>
      </c>
      <c r="HD18" s="115"/>
      <c r="HE18" s="481">
        <f t="shared" ref="HE18:HG18" si="60">SUM(HE15:HE17)</f>
        <v>0</v>
      </c>
      <c r="HF18" s="481">
        <f t="shared" si="60"/>
        <v>0</v>
      </c>
      <c r="HG18" s="481">
        <f t="shared" si="60"/>
        <v>0</v>
      </c>
      <c r="HH18" s="481">
        <f>SUM(HH15:HH17)</f>
        <v>5946647.6649043793</v>
      </c>
      <c r="HI18" s="481">
        <f>SUM(HI15:HI17)</f>
        <v>5946647.6649043793</v>
      </c>
      <c r="HJ18" s="326">
        <f t="shared" si="44"/>
        <v>5</v>
      </c>
      <c r="HK18" s="224" t="s">
        <v>12</v>
      </c>
      <c r="HL18" s="5"/>
      <c r="HM18" s="227">
        <f>'[16]Lead G'!D14</f>
        <v>19366.041045000002</v>
      </c>
      <c r="HN18" s="227">
        <f>'[16]Lead G'!E14</f>
        <v>19366.041045000002</v>
      </c>
      <c r="HO18" s="227">
        <f t="shared" si="23"/>
        <v>0</v>
      </c>
      <c r="HP18" s="227">
        <f>'[16]Lead G'!G14</f>
        <v>19966.917678000002</v>
      </c>
      <c r="HQ18" s="227">
        <f t="shared" si="24"/>
        <v>600.87663299999986</v>
      </c>
      <c r="HR18" s="106">
        <f t="shared" si="45"/>
        <v>5</v>
      </c>
      <c r="HS18" s="154" t="s">
        <v>527</v>
      </c>
      <c r="HT18" s="5"/>
      <c r="HU18" s="148">
        <f>'[33]Lead G'!$D$17</f>
        <v>0</v>
      </c>
      <c r="HV18" s="148">
        <f>'[33]Lead G'!$E$17</f>
        <v>0</v>
      </c>
      <c r="HW18" s="148">
        <f>'[33]Lead G'!$F$17</f>
        <v>0</v>
      </c>
      <c r="HX18" s="148">
        <f>'[33]Lead G'!$G$18</f>
        <v>-189353.38777026249</v>
      </c>
      <c r="HY18" s="148">
        <f>'[33]Lead G'!$H$18</f>
        <v>-189353.38777026249</v>
      </c>
    </row>
    <row r="19" spans="1:236" ht="16.5" thickTop="1" thickBot="1" x14ac:dyDescent="0.3">
      <c r="A19" s="237">
        <f t="shared" si="0"/>
        <v>6</v>
      </c>
      <c r="B19" s="370" t="s">
        <v>389</v>
      </c>
      <c r="C19" s="379"/>
      <c r="D19" s="503"/>
      <c r="E19" s="408"/>
      <c r="F19" s="244">
        <f>+'[17]Gas Lead'!E17</f>
        <v>945501.50930613512</v>
      </c>
      <c r="G19" s="503"/>
      <c r="H19" s="243">
        <v>0</v>
      </c>
      <c r="I19" s="106">
        <f t="shared" si="25"/>
        <v>6</v>
      </c>
      <c r="J19" s="228" t="s">
        <v>482</v>
      </c>
      <c r="K19" s="5"/>
      <c r="L19" s="452">
        <f>L15*L17</f>
        <v>4337256.6364930933</v>
      </c>
      <c r="M19" s="452">
        <f>M15*M17</f>
        <v>4379631.9664230933</v>
      </c>
      <c r="N19" s="452">
        <f>+[18]Lead!F14</f>
        <v>42375.32993</v>
      </c>
      <c r="O19" s="452">
        <f>+[18]Lead!$G$14</f>
        <v>39501680.602483019</v>
      </c>
      <c r="P19" s="452">
        <f>O19-M19</f>
        <v>35122048.636059925</v>
      </c>
      <c r="Q19" s="344"/>
      <c r="R19" s="344"/>
      <c r="S19" s="344"/>
      <c r="T19" s="344"/>
      <c r="U19" s="344"/>
      <c r="V19" s="344"/>
      <c r="W19" s="344"/>
      <c r="X19" s="344"/>
      <c r="Y19" s="114">
        <f t="shared" si="3"/>
        <v>6</v>
      </c>
      <c r="Z19" s="20" t="s">
        <v>112</v>
      </c>
      <c r="AB19" s="459">
        <v>0</v>
      </c>
      <c r="AC19" s="459">
        <f>+AC14*AC18</f>
        <v>61510078.005106948</v>
      </c>
      <c r="AD19" s="459">
        <f>+AC19-AB19</f>
        <v>61510078.005106948</v>
      </c>
      <c r="AE19" s="413">
        <f>+AE14*AE18</f>
        <v>60633705.509920031</v>
      </c>
      <c r="AF19" s="460">
        <f>+AE19-AD19</f>
        <v>-876372.49518691748</v>
      </c>
      <c r="AG19" s="237">
        <f t="shared" si="4"/>
        <v>7</v>
      </c>
      <c r="AH19" s="151" t="s">
        <v>258</v>
      </c>
      <c r="AI19" s="125"/>
      <c r="AJ19" s="244">
        <f>+'[8]Lead 3.05  '!D15</f>
        <v>-52671.83</v>
      </c>
      <c r="AK19" s="262">
        <f>+'[8]Lead 3.05  '!E15</f>
        <v>0</v>
      </c>
      <c r="AL19" s="244">
        <f t="shared" si="5"/>
        <v>52671.83</v>
      </c>
      <c r="AM19" s="262">
        <f t="shared" si="6"/>
        <v>0</v>
      </c>
      <c r="AN19" s="262">
        <f t="shared" si="7"/>
        <v>0</v>
      </c>
      <c r="AO19" s="114">
        <f t="shared" si="8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 t="shared" ref="AS19:AV19" si="61">-$AQ$19*AS18</f>
        <v>-236211.01623767038</v>
      </c>
      <c r="AT19" s="135">
        <f t="shared" si="61"/>
        <v>-333958.24871907668</v>
      </c>
      <c r="AU19" s="135">
        <f t="shared" si="61"/>
        <v>-236211.01623767038</v>
      </c>
      <c r="AV19" s="135">
        <f t="shared" si="61"/>
        <v>0</v>
      </c>
      <c r="AW19" s="70">
        <f t="shared" si="27"/>
        <v>6</v>
      </c>
      <c r="AX19" s="196" t="s">
        <v>80</v>
      </c>
      <c r="AY19" s="196"/>
      <c r="AZ19" s="463">
        <f t="shared" ref="AZ19:BD19" si="62">AZ17-AZ18</f>
        <v>-3423246.4500636901</v>
      </c>
      <c r="BA19" s="463">
        <f t="shared" si="62"/>
        <v>-3548675.2048051325</v>
      </c>
      <c r="BB19" s="463">
        <f t="shared" si="62"/>
        <v>-125428.75474144239</v>
      </c>
      <c r="BC19" s="463">
        <f t="shared" si="62"/>
        <v>-3548675.2048051325</v>
      </c>
      <c r="BD19" s="463">
        <f t="shared" si="62"/>
        <v>0</v>
      </c>
      <c r="BE19" s="42">
        <f>[19]Summary!$G$18</f>
        <v>5.1240000000000001E-3</v>
      </c>
      <c r="BF19" s="27">
        <f t="shared" si="9"/>
        <v>6</v>
      </c>
      <c r="BG19" s="205" t="s">
        <v>125</v>
      </c>
      <c r="BI19" s="383">
        <f>[20]Gas!D18</f>
        <v>1865743.5814950194</v>
      </c>
      <c r="BJ19" s="383">
        <f>[20]Gas!E18</f>
        <v>1986577.5876422047</v>
      </c>
      <c r="BK19" s="383">
        <f>[20]Gas!F18</f>
        <v>120834.00614718534</v>
      </c>
      <c r="BL19" s="383">
        <f>[20]Gas!G18</f>
        <v>1986577.5876422047</v>
      </c>
      <c r="BM19" s="383">
        <f>[20]Gas!H18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 t="shared" si="56"/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0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 t="shared" ref="CW19" si="63">-CW17-CW18</f>
        <v>-1606404.4501608335</v>
      </c>
      <c r="CX19" s="67">
        <f t="shared" ref="CX19" si="64">-CX17-CX18</f>
        <v>-2376855.1976258974</v>
      </c>
      <c r="CY19" s="67">
        <f>-CY17-CY18</f>
        <v>-770450.7474650637</v>
      </c>
      <c r="CZ19" s="67">
        <f t="shared" ref="CZ19:DA19" si="65">-CZ17-CZ18</f>
        <v>-2376855.1976258974</v>
      </c>
      <c r="DA19" s="67">
        <f t="shared" si="65"/>
        <v>0</v>
      </c>
      <c r="DB19" s="16">
        <f t="shared" si="13"/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 t="shared" ref="DG19:DI19" si="66">-DG16-DG18</f>
        <v>-52646.119560989835</v>
      </c>
      <c r="DH19" s="156">
        <f t="shared" si="66"/>
        <v>-1048708.3546513263</v>
      </c>
      <c r="DI19" s="156">
        <f t="shared" si="66"/>
        <v>-24480.220569124907</v>
      </c>
      <c r="DJ19" s="27">
        <f t="shared" si="14"/>
        <v>6</v>
      </c>
      <c r="DK19" s="240" t="s">
        <v>125</v>
      </c>
      <c r="DL19" s="180"/>
      <c r="DM19" s="190">
        <f>+'[21]Gas RS + RP'!D17</f>
        <v>25614608.633726873</v>
      </c>
      <c r="DN19" s="190">
        <f>+'[21]Gas RS + RP'!E17</f>
        <v>26017231.896021232</v>
      </c>
      <c r="DO19" s="162">
        <f t="shared" si="15"/>
        <v>402623.26229435951</v>
      </c>
      <c r="DP19" s="190">
        <f>+'[21]Gas RS + RP'!G17</f>
        <v>27367437.778159473</v>
      </c>
      <c r="DQ19" s="190">
        <f t="shared" si="16"/>
        <v>1350205.8821382411</v>
      </c>
      <c r="DR19" s="27">
        <f t="shared" si="17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[34]Lead!$G$43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30"/>
        <v>6</v>
      </c>
      <c r="EI19" s="154" t="s">
        <v>31</v>
      </c>
      <c r="EK19" s="227">
        <v>0</v>
      </c>
      <c r="EL19" s="227">
        <v>0</v>
      </c>
      <c r="EM19" s="227">
        <f t="shared" si="18"/>
        <v>0</v>
      </c>
      <c r="EN19" s="227">
        <f t="shared" si="19"/>
        <v>0</v>
      </c>
      <c r="EO19" s="227">
        <f t="shared" si="20"/>
        <v>0</v>
      </c>
      <c r="EP19" s="326">
        <f t="shared" si="31"/>
        <v>6</v>
      </c>
      <c r="EQ19" s="224" t="s">
        <v>406</v>
      </c>
      <c r="ER19" s="326"/>
      <c r="ES19" s="148">
        <f>'[15]Lead Gas'!D19</f>
        <v>150570.87421800001</v>
      </c>
      <c r="ET19" s="148">
        <f>'[15]Lead Gas'!E19</f>
        <v>155899.85061600001</v>
      </c>
      <c r="EU19" s="148">
        <f>ET19-ES19</f>
        <v>5328.9763979999989</v>
      </c>
      <c r="EV19" s="148">
        <f t="shared" ref="EV19:EV20" si="67">ET19</f>
        <v>155899.85061600001</v>
      </c>
      <c r="EW19" s="148">
        <f>EV19-ET19</f>
        <v>0</v>
      </c>
      <c r="EX19" s="106">
        <f t="shared" si="22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 t="shared" si="35"/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37"/>
        <v>6</v>
      </c>
      <c r="FO19" s="180" t="s">
        <v>379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341</v>
      </c>
      <c r="FX19" s="209"/>
      <c r="FY19" s="462">
        <f>+'[26]Lead G'!D15</f>
        <v>450520.55347530002</v>
      </c>
      <c r="FZ19" s="462">
        <f>+'[26]Lead G'!E15</f>
        <v>450520.55347530002</v>
      </c>
      <c r="GA19" s="462">
        <f t="shared" si="59"/>
        <v>0</v>
      </c>
      <c r="GB19" s="462">
        <f>+'[26]Lead G'!G15</f>
        <v>337383.05895000004</v>
      </c>
      <c r="GC19" s="462">
        <f t="shared" si="38"/>
        <v>-113137.49452529999</v>
      </c>
      <c r="GD19" s="208">
        <f t="shared" si="39"/>
        <v>6</v>
      </c>
      <c r="GE19" s="180" t="s">
        <v>379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254">
        <f>SUM(GJ16:GJ18)</f>
        <v>6418004.8049946642</v>
      </c>
      <c r="GK19" s="254">
        <f>SUM(GK16:GK18)</f>
        <v>6418004.8049946642</v>
      </c>
      <c r="GL19" s="326">
        <f t="shared" si="41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372</v>
      </c>
      <c r="GV19" s="211"/>
      <c r="GW19" s="202">
        <f>'[28]Lead G'!$D$18</f>
        <v>0</v>
      </c>
      <c r="GX19" s="202">
        <f>GW19</f>
        <v>0</v>
      </c>
      <c r="GY19" s="202">
        <f>GX19-GW19</f>
        <v>0</v>
      </c>
      <c r="GZ19" s="202">
        <f>'[28]Lead G'!$G$18</f>
        <v>-722630.37767299998</v>
      </c>
      <c r="HA19" s="202">
        <f>GZ19-GX19</f>
        <v>-722630.37767299998</v>
      </c>
      <c r="HB19" s="27">
        <v>6</v>
      </c>
      <c r="HE19" s="337"/>
      <c r="HF19" s="337"/>
      <c r="HG19" s="337"/>
      <c r="HH19" s="337"/>
      <c r="HI19" s="337"/>
      <c r="HJ19" s="326">
        <f t="shared" si="44"/>
        <v>6</v>
      </c>
      <c r="HK19" s="224" t="s">
        <v>102</v>
      </c>
      <c r="HM19" s="226">
        <f>SUM(HM14:HM18)</f>
        <v>23609047.271044999</v>
      </c>
      <c r="HN19" s="226">
        <f t="shared" ref="HN19:HQ19" si="68">SUM(HN14:HN18)</f>
        <v>23609047.271044999</v>
      </c>
      <c r="HO19" s="226">
        <f t="shared" si="68"/>
        <v>0</v>
      </c>
      <c r="HP19" s="226">
        <f t="shared" si="68"/>
        <v>23993626.217678003</v>
      </c>
      <c r="HQ19" s="226">
        <f t="shared" si="68"/>
        <v>384578.94663300115</v>
      </c>
      <c r="HR19" s="106">
        <f t="shared" si="45"/>
        <v>6</v>
      </c>
      <c r="HS19" s="154" t="s">
        <v>379</v>
      </c>
      <c r="HT19" s="108"/>
      <c r="HU19" s="489">
        <f t="shared" ref="HU19:HV19" si="69">SUM(HU16:HU18)</f>
        <v>0</v>
      </c>
      <c r="HV19" s="489">
        <f t="shared" si="69"/>
        <v>0</v>
      </c>
      <c r="HW19" s="489">
        <f>SUM(HW16:HW18)</f>
        <v>0</v>
      </c>
      <c r="HX19" s="489">
        <f>SUM(HX16:HX18)</f>
        <v>2799732.3622297375</v>
      </c>
      <c r="HY19" s="489">
        <f>SUM(HY16:HY18)</f>
        <v>2799732.3622297375</v>
      </c>
    </row>
    <row r="20" spans="1:236" ht="16.5" thickTop="1" thickBot="1" x14ac:dyDescent="0.3">
      <c r="A20" s="237">
        <f t="shared" si="0"/>
        <v>7</v>
      </c>
      <c r="B20" s="372" t="s">
        <v>495</v>
      </c>
      <c r="C20" s="379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5"/>
        <v>7</v>
      </c>
      <c r="J20" s="229"/>
      <c r="K20" s="5"/>
      <c r="L20" s="271"/>
      <c r="M20" s="271"/>
      <c r="N20" s="271"/>
      <c r="O20" s="271"/>
      <c r="P20" s="271"/>
      <c r="Q20" s="344"/>
      <c r="R20" s="344"/>
      <c r="S20" s="344"/>
      <c r="T20" s="344"/>
      <c r="U20" s="344"/>
      <c r="V20" s="344"/>
      <c r="W20" s="344"/>
      <c r="X20" s="344"/>
      <c r="Y20" s="114">
        <f t="shared" si="3"/>
        <v>7</v>
      </c>
      <c r="Z20" s="20"/>
      <c r="AB20" s="280"/>
      <c r="AC20" s="280"/>
      <c r="AD20" s="280"/>
      <c r="AE20" s="280"/>
      <c r="AF20" s="280"/>
      <c r="AG20" s="237">
        <f t="shared" si="4"/>
        <v>8</v>
      </c>
      <c r="AH20" s="151" t="s">
        <v>165</v>
      </c>
      <c r="AI20" s="125"/>
      <c r="AJ20" s="244">
        <f>+'[8]Lead 3.05  '!D16</f>
        <v>46012584.141477734</v>
      </c>
      <c r="AK20" s="262">
        <f>+'[8]Lead 3.05  '!E16</f>
        <v>0</v>
      </c>
      <c r="AL20" s="244">
        <f t="shared" si="5"/>
        <v>-46012584.141477734</v>
      </c>
      <c r="AM20" s="262">
        <f t="shared" si="6"/>
        <v>0</v>
      </c>
      <c r="AN20" s="262">
        <f t="shared" si="7"/>
        <v>0</v>
      </c>
      <c r="AO20" s="114">
        <f t="shared" si="8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4"/>
      <c r="BF20" s="27">
        <f t="shared" si="9"/>
        <v>7</v>
      </c>
      <c r="BG20" s="205" t="s">
        <v>126</v>
      </c>
      <c r="BI20" s="383">
        <f>[20]Gas!D19</f>
        <v>590456.90913402813</v>
      </c>
      <c r="BJ20" s="383">
        <f>[20]Gas!E19</f>
        <v>619932.49943511235</v>
      </c>
      <c r="BK20" s="383">
        <f>[20]Gas!F19</f>
        <v>29475.590301084216</v>
      </c>
      <c r="BL20" s="383">
        <f>[20]Gas!G19</f>
        <v>619932.49943511235</v>
      </c>
      <c r="BM20" s="383">
        <f>[20]Gas!H19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0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5">
        <f>-CO17-CO19</f>
        <v>4763.2752936299994</v>
      </c>
      <c r="CP20" s="385">
        <f t="shared" ref="CP20:CS20" si="70">-CP17-CP19</f>
        <v>-433315</v>
      </c>
      <c r="CQ20" s="385">
        <f t="shared" si="70"/>
        <v>-438078.27529363008</v>
      </c>
      <c r="CR20" s="385">
        <f t="shared" si="70"/>
        <v>-433315</v>
      </c>
      <c r="CS20" s="385">
        <f t="shared" si="70"/>
        <v>0</v>
      </c>
      <c r="CT20" s="16"/>
      <c r="DB20" s="16"/>
      <c r="DJ20" s="27">
        <f t="shared" si="14"/>
        <v>7</v>
      </c>
      <c r="DK20" s="240" t="s">
        <v>126</v>
      </c>
      <c r="DL20" s="180"/>
      <c r="DM20" s="190">
        <f>+'[21]Gas RS + RP'!D18</f>
        <v>8106312.9809994772</v>
      </c>
      <c r="DN20" s="161">
        <f>+'[21]Gas RS + RP'!E18</f>
        <v>8119269.1840749597</v>
      </c>
      <c r="DO20" s="162">
        <f t="shared" si="15"/>
        <v>12956.20307548251</v>
      </c>
      <c r="DP20" s="161">
        <f>+'[21]Gas RS + RP'!G18</f>
        <v>8393646.5255392529</v>
      </c>
      <c r="DQ20" s="161">
        <f t="shared" si="16"/>
        <v>274377.34146429319</v>
      </c>
      <c r="DR20" s="27">
        <f t="shared" si="17"/>
        <v>7</v>
      </c>
      <c r="DS20" s="471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'[23]Lead Gas'!D19</f>
        <v>6749185.0726644062</v>
      </c>
      <c r="ED20" s="232">
        <f>'[23]Lead Gas'!E19</f>
        <v>6749185.0726644062</v>
      </c>
      <c r="EE20" s="232">
        <f>ED20-EC20</f>
        <v>0</v>
      </c>
      <c r="EF20" s="232">
        <f>'[23]Lead Gas'!G19</f>
        <v>6749185.0726644062</v>
      </c>
      <c r="EG20" s="479">
        <f>EF20-ED20</f>
        <v>0</v>
      </c>
      <c r="EH20" s="114">
        <f t="shared" si="30"/>
        <v>7</v>
      </c>
      <c r="EI20" s="154" t="s">
        <v>32</v>
      </c>
      <c r="EK20" s="478">
        <f>SUM(EK14:EK19)</f>
        <v>1951252143.2591095</v>
      </c>
      <c r="EL20" s="478">
        <f t="shared" ref="EL20:EO20" si="71">SUM(EL14:EL19)</f>
        <v>2101917831.5899961</v>
      </c>
      <c r="EM20" s="478">
        <f t="shared" si="71"/>
        <v>150665688.3308869</v>
      </c>
      <c r="EN20" s="478">
        <f t="shared" si="71"/>
        <v>2101917831.5899961</v>
      </c>
      <c r="EO20" s="480">
        <f t="shared" si="71"/>
        <v>0</v>
      </c>
      <c r="EP20" s="326">
        <f t="shared" si="31"/>
        <v>7</v>
      </c>
      <c r="EQ20" s="224" t="s">
        <v>407</v>
      </c>
      <c r="ER20" s="326"/>
      <c r="ES20" s="147">
        <f>'[15]Lead Gas'!D20</f>
        <v>159133.14000000001</v>
      </c>
      <c r="ET20" s="147">
        <f>'[15]Lead Gas'!E20</f>
        <v>168529.08</v>
      </c>
      <c r="EU20" s="147">
        <f>ET20-ES20</f>
        <v>9395.9399999999732</v>
      </c>
      <c r="EV20" s="147">
        <f t="shared" si="67"/>
        <v>168529.08</v>
      </c>
      <c r="EW20" s="147">
        <f>EV20-ET20</f>
        <v>0</v>
      </c>
      <c r="EX20" s="106">
        <f t="shared" si="22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37"/>
        <v>7</v>
      </c>
      <c r="FO20" s="210" t="s">
        <v>380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342</v>
      </c>
      <c r="FX20" s="209"/>
      <c r="FY20" s="462">
        <f>+'[26]Lead G'!D16</f>
        <v>165631.64519055001</v>
      </c>
      <c r="FZ20" s="462">
        <f>+'[26]Lead G'!E16</f>
        <v>165631.64519055001</v>
      </c>
      <c r="GA20" s="462">
        <f t="shared" si="59"/>
        <v>0</v>
      </c>
      <c r="GB20" s="462">
        <f>+'[26]Lead G'!G16</f>
        <v>400013.62731539999</v>
      </c>
      <c r="GC20" s="462">
        <f t="shared" si="38"/>
        <v>234381.98212484998</v>
      </c>
      <c r="GD20" s="208">
        <f t="shared" si="39"/>
        <v>7</v>
      </c>
      <c r="GE20" s="180"/>
      <c r="GF20" s="212"/>
      <c r="GG20" s="254"/>
      <c r="GH20" s="254"/>
      <c r="GI20" s="254"/>
      <c r="GJ20" s="254"/>
      <c r="GK20" s="254"/>
      <c r="GL20" s="326">
        <f t="shared" si="41"/>
        <v>7</v>
      </c>
      <c r="GM20" s="154" t="s">
        <v>80</v>
      </c>
      <c r="GN20" s="5"/>
      <c r="GO20" s="109">
        <f>-GO17-GO19</f>
        <v>-471923.88</v>
      </c>
      <c r="GP20" s="109">
        <f t="shared" ref="GP20:GS20" si="72">-GP17-GP19</f>
        <v>-471923.88</v>
      </c>
      <c r="GQ20" s="109">
        <f t="shared" si="72"/>
        <v>0</v>
      </c>
      <c r="GR20" s="109">
        <f t="shared" si="72"/>
        <v>-127825.49079275</v>
      </c>
      <c r="GS20" s="109">
        <f t="shared" si="72"/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 t="shared" ref="GX20:HA20" si="73">GX19</f>
        <v>0</v>
      </c>
      <c r="GY20" s="265">
        <f t="shared" si="73"/>
        <v>0</v>
      </c>
      <c r="GZ20" s="265">
        <f t="shared" si="73"/>
        <v>-722630.37767299998</v>
      </c>
      <c r="HA20" s="265">
        <f t="shared" si="73"/>
        <v>-722630.37767299998</v>
      </c>
      <c r="HB20" s="27">
        <v>7</v>
      </c>
      <c r="HC20" s="214" t="s">
        <v>360</v>
      </c>
      <c r="HD20" s="214"/>
      <c r="HE20" s="337"/>
      <c r="HF20" s="337"/>
      <c r="HG20" s="337"/>
      <c r="HH20" s="337"/>
      <c r="HI20" s="337"/>
      <c r="HJ20" s="326">
        <f t="shared" si="44"/>
        <v>7</v>
      </c>
      <c r="HK20" s="225"/>
      <c r="HL20" s="5"/>
      <c r="HM20" s="148"/>
      <c r="HN20" s="148"/>
      <c r="HO20" s="148"/>
      <c r="HP20" s="148"/>
      <c r="HQ20" s="148"/>
      <c r="HR20" s="106">
        <f t="shared" si="45"/>
        <v>7</v>
      </c>
      <c r="HS20" s="5"/>
      <c r="HT20" s="5"/>
      <c r="HU20" s="5"/>
      <c r="HV20" s="5"/>
      <c r="HW20" s="5"/>
      <c r="HX20" s="5"/>
      <c r="HY20" s="5"/>
    </row>
    <row r="21" spans="1:236" ht="16.5" thickTop="1" thickBot="1" x14ac:dyDescent="0.3">
      <c r="A21" s="237">
        <f t="shared" si="0"/>
        <v>8</v>
      </c>
      <c r="B21" s="370"/>
      <c r="C21" s="240"/>
      <c r="D21" s="244"/>
      <c r="E21" s="244"/>
      <c r="F21" s="248"/>
      <c r="G21" s="248"/>
      <c r="H21" s="243"/>
      <c r="I21" s="106">
        <f t="shared" si="25"/>
        <v>8</v>
      </c>
      <c r="J21" s="228" t="s">
        <v>367</v>
      </c>
      <c r="K21" s="5"/>
      <c r="L21" s="155">
        <v>0</v>
      </c>
      <c r="M21" s="155">
        <v>0</v>
      </c>
      <c r="N21" s="155">
        <f>M21-L21</f>
        <v>0</v>
      </c>
      <c r="O21" s="453">
        <f>+[18]Lead!$G$16</f>
        <v>16597941.863750041</v>
      </c>
      <c r="P21" s="450">
        <f>O21-M21</f>
        <v>16597941.863750041</v>
      </c>
      <c r="Q21" s="344"/>
      <c r="R21" s="344"/>
      <c r="S21" s="344"/>
      <c r="T21" s="344"/>
      <c r="U21" s="344"/>
      <c r="V21" s="344"/>
      <c r="W21" s="344"/>
      <c r="X21" s="344"/>
      <c r="Y21" s="114">
        <f t="shared" si="3"/>
        <v>8</v>
      </c>
      <c r="Z21" s="239" t="s">
        <v>113</v>
      </c>
      <c r="AA21" s="386">
        <f>FIT_GAS</f>
        <v>0.21</v>
      </c>
      <c r="AB21" s="294">
        <f>-AB19*$AA$21</f>
        <v>0</v>
      </c>
      <c r="AC21" s="294">
        <f>-AC19*$AA$21</f>
        <v>-12917116.381072458</v>
      </c>
      <c r="AD21" s="294">
        <f>-AD19*$AA$21</f>
        <v>-12917116.381072458</v>
      </c>
      <c r="AE21" s="294">
        <f>-AE19*$AA$21</f>
        <v>-12733078.157083206</v>
      </c>
      <c r="AF21" s="294">
        <f>-AF19*$AA$21</f>
        <v>184038.22398925267</v>
      </c>
      <c r="AG21" s="237">
        <f t="shared" si="4"/>
        <v>9</v>
      </c>
      <c r="AH21" s="151" t="s">
        <v>166</v>
      </c>
      <c r="AI21" s="125"/>
      <c r="AJ21" s="244">
        <f>+'[8]Lead 3.05  '!D17</f>
        <v>-43921450.229999997</v>
      </c>
      <c r="AK21" s="262">
        <f>+'[8]Lead 3.05  '!E17</f>
        <v>0</v>
      </c>
      <c r="AL21" s="244">
        <f t="shared" si="5"/>
        <v>43921450.229999997</v>
      </c>
      <c r="AM21" s="262">
        <f t="shared" si="6"/>
        <v>0</v>
      </c>
      <c r="AN21" s="262">
        <f t="shared" si="7"/>
        <v>0</v>
      </c>
      <c r="AO21" s="114">
        <f t="shared" si="8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9"/>
        <v>8</v>
      </c>
      <c r="BG21" s="205" t="s">
        <v>127</v>
      </c>
      <c r="BH21" s="10"/>
      <c r="BI21" s="383">
        <f>[20]Gas!D20</f>
        <v>62084.89431110851</v>
      </c>
      <c r="BJ21" s="383">
        <f>[20]Gas!E20</f>
        <v>65121.924963913763</v>
      </c>
      <c r="BK21" s="383">
        <f>[20]Gas!F20</f>
        <v>3037.0306528052533</v>
      </c>
      <c r="BL21" s="383">
        <f>[20]Gas!G20</f>
        <v>65121.924963913763</v>
      </c>
      <c r="BM21" s="383">
        <f>[20]Gas!H20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0"/>
        <v>8</v>
      </c>
      <c r="BW21" s="180"/>
      <c r="BX21" s="180"/>
      <c r="BY21" s="465"/>
      <c r="BZ21" s="465"/>
      <c r="CA21" s="465"/>
      <c r="CB21" s="465"/>
      <c r="CC21" s="465"/>
      <c r="CL21" s="27"/>
      <c r="CM21" s="9"/>
      <c r="CN21" s="9"/>
      <c r="CT21" s="16"/>
      <c r="DB21" s="16"/>
      <c r="DJ21" s="27">
        <f t="shared" si="14"/>
        <v>8</v>
      </c>
      <c r="DK21" s="240" t="s">
        <v>127</v>
      </c>
      <c r="DL21" s="180"/>
      <c r="DM21" s="190">
        <f>+'[21]Gas RS + RP'!D19</f>
        <v>852371.36942795804</v>
      </c>
      <c r="DN21" s="161">
        <f>+'[21]Gas RS + RP'!E19</f>
        <v>853095.85341986758</v>
      </c>
      <c r="DO21" s="162">
        <f t="shared" si="15"/>
        <v>724.48399190953933</v>
      </c>
      <c r="DP21" s="161">
        <f>+'[21]Gas RS + RP'!G19</f>
        <v>884707.95937244641</v>
      </c>
      <c r="DQ21" s="161">
        <f t="shared" si="16"/>
        <v>31612.10595257883</v>
      </c>
      <c r="DR21" s="27">
        <f t="shared" si="17"/>
        <v>8</v>
      </c>
      <c r="DS21" s="153" t="s">
        <v>151</v>
      </c>
      <c r="DT21" s="188"/>
      <c r="DU21" s="184">
        <f>+[22]Gas!D20</f>
        <v>471519.19799999997</v>
      </c>
      <c r="DV21" s="184">
        <f>+[22]Gas!E20</f>
        <v>482128.37995499995</v>
      </c>
      <c r="DW21" s="184">
        <f>+DV21-DU21</f>
        <v>10609.181954999978</v>
      </c>
      <c r="DX21" s="184">
        <f>+[22]Gas!G20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 t="shared" ref="ED21:EG21" si="74">ED19-ED20</f>
        <v>-781.52480093110353</v>
      </c>
      <c r="EE21" s="148">
        <f t="shared" si="74"/>
        <v>13475.113426476943</v>
      </c>
      <c r="EF21" s="148">
        <f t="shared" si="74"/>
        <v>389764.88039446343</v>
      </c>
      <c r="EG21" s="155">
        <f t="shared" si="74"/>
        <v>390546.4051953943</v>
      </c>
      <c r="EH21" s="114"/>
      <c r="EK21" s="337"/>
      <c r="EL21" s="337"/>
      <c r="EM21" s="337"/>
      <c r="EN21" s="337"/>
      <c r="EO21" s="337"/>
      <c r="EP21" s="326">
        <f t="shared" si="31"/>
        <v>8</v>
      </c>
      <c r="EQ21" s="224" t="s">
        <v>285</v>
      </c>
      <c r="ER21" s="326"/>
      <c r="ES21" s="148">
        <f>SUM(ES18:ES20)</f>
        <v>143075300.43646103</v>
      </c>
      <c r="ET21" s="148">
        <f t="shared" ref="ET21:EW21" si="75">SUM(ET18:ET20)</f>
        <v>155402272.09059581</v>
      </c>
      <c r="EU21" s="148">
        <f t="shared" si="75"/>
        <v>12326971.654134724</v>
      </c>
      <c r="EV21" s="148">
        <f t="shared" si="75"/>
        <v>155402272.09059581</v>
      </c>
      <c r="EW21" s="148">
        <f t="shared" si="75"/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37"/>
        <v>8</v>
      </c>
      <c r="FO21" s="212" t="s">
        <v>356</v>
      </c>
      <c r="FP21" s="180"/>
      <c r="FQ21" s="244"/>
      <c r="FR21" s="244"/>
      <c r="FS21" s="244">
        <f>+'[31]Lead G'!F21</f>
        <v>0</v>
      </c>
      <c r="FT21" s="244">
        <f>+'[31]Lead G'!G21</f>
        <v>5026060.749488458</v>
      </c>
      <c r="FU21" s="244">
        <f>+FT21-FS21</f>
        <v>5026060.749488458</v>
      </c>
      <c r="FV21" s="27">
        <v>8</v>
      </c>
      <c r="FW21" s="279" t="s">
        <v>343</v>
      </c>
      <c r="FX21" s="209"/>
      <c r="FY21" s="462">
        <f>+'[26]Lead G'!D17</f>
        <v>456719.19790035009</v>
      </c>
      <c r="FZ21" s="462">
        <f>+'[26]Lead G'!E17</f>
        <v>456719.19790035009</v>
      </c>
      <c r="GA21" s="462">
        <f t="shared" si="59"/>
        <v>0</v>
      </c>
      <c r="GB21" s="462">
        <f>+'[26]Lead G'!G17</f>
        <v>365489.92458720005</v>
      </c>
      <c r="GC21" s="462">
        <f t="shared" si="38"/>
        <v>-91229.273313150043</v>
      </c>
      <c r="GD21" s="208">
        <f t="shared" si="39"/>
        <v>8</v>
      </c>
      <c r="GE21" s="210" t="s">
        <v>380</v>
      </c>
      <c r="GF21" s="212"/>
      <c r="GG21" s="244"/>
      <c r="GH21" s="244"/>
      <c r="GI21" s="244"/>
      <c r="GJ21" s="244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8"/>
      <c r="GX21" s="458"/>
      <c r="GY21" s="458"/>
      <c r="GZ21" s="458"/>
      <c r="HA21" s="458"/>
      <c r="HB21" s="27">
        <v>8</v>
      </c>
      <c r="HC21" s="216" t="s">
        <v>399</v>
      </c>
      <c r="HD21" s="216"/>
      <c r="HE21" s="148">
        <v>0</v>
      </c>
      <c r="HF21" s="148">
        <v>0</v>
      </c>
      <c r="HG21" s="148">
        <f t="shared" ref="HG21" si="76">HF21-HE21</f>
        <v>0</v>
      </c>
      <c r="HH21" s="148">
        <f>+'[29]Lead G'!G20</f>
        <v>156400.22579821481</v>
      </c>
      <c r="HI21" s="148">
        <f t="shared" ref="HI21" si="77">HH21-HG21</f>
        <v>156400.22579821481</v>
      </c>
      <c r="HJ21" s="326">
        <f t="shared" si="44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 t="shared" ref="HO21" si="78"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45"/>
        <v>8</v>
      </c>
      <c r="HS21" s="5" t="s">
        <v>359</v>
      </c>
      <c r="HT21" s="5"/>
      <c r="HU21" s="273">
        <f t="shared" ref="HU21:HW21" si="79">HU19</f>
        <v>0</v>
      </c>
      <c r="HV21" s="273">
        <f t="shared" si="79"/>
        <v>0</v>
      </c>
      <c r="HW21" s="273">
        <f t="shared" si="79"/>
        <v>0</v>
      </c>
      <c r="HX21" s="273">
        <f>HX19</f>
        <v>2799732.3622297375</v>
      </c>
      <c r="HY21" s="273">
        <f t="shared" ref="HY21" si="80">HY19</f>
        <v>2799732.3622297375</v>
      </c>
    </row>
    <row r="22" spans="1:236" ht="16.5" thickTop="1" thickBot="1" x14ac:dyDescent="0.3">
      <c r="A22" s="237">
        <f t="shared" si="0"/>
        <v>9</v>
      </c>
      <c r="B22" s="371" t="s">
        <v>2</v>
      </c>
      <c r="C22" s="238"/>
      <c r="D22" s="380"/>
      <c r="E22" s="244"/>
      <c r="F22" s="248"/>
      <c r="G22" s="248"/>
      <c r="H22" s="243"/>
      <c r="I22" s="106">
        <f t="shared" si="25"/>
        <v>9</v>
      </c>
      <c r="J22" s="5"/>
      <c r="K22" s="5"/>
      <c r="L22" s="272"/>
      <c r="M22" s="272"/>
      <c r="N22" s="272"/>
      <c r="O22" s="272"/>
      <c r="P22" s="272"/>
      <c r="Q22" s="344"/>
      <c r="R22" s="344"/>
      <c r="S22" s="344"/>
      <c r="T22" s="344"/>
      <c r="U22" s="344"/>
      <c r="V22" s="344"/>
      <c r="W22" s="344"/>
      <c r="X22" s="344"/>
      <c r="Y22" s="114">
        <f t="shared" si="3"/>
        <v>9</v>
      </c>
      <c r="Z22" s="239" t="s">
        <v>80</v>
      </c>
      <c r="AB22" s="390">
        <f>-AB21</f>
        <v>0</v>
      </c>
      <c r="AC22" s="390">
        <f>-AC21</f>
        <v>12917116.381072458</v>
      </c>
      <c r="AD22" s="390">
        <f t="shared" ref="AD22:AF22" si="81">-AD21</f>
        <v>12917116.381072458</v>
      </c>
      <c r="AE22" s="390">
        <f t="shared" si="81"/>
        <v>12733078.157083206</v>
      </c>
      <c r="AF22" s="390">
        <f t="shared" si="81"/>
        <v>-184038.22398925267</v>
      </c>
      <c r="AG22" s="237">
        <f t="shared" si="4"/>
        <v>10</v>
      </c>
      <c r="AH22" s="151" t="s">
        <v>259</v>
      </c>
      <c r="AI22" s="280"/>
      <c r="AJ22" s="244">
        <f>+'[8]Lead 3.05  '!D18</f>
        <v>41329081.230000004</v>
      </c>
      <c r="AK22" s="262">
        <f>+'[8]Lead 3.05  '!E18</f>
        <v>0</v>
      </c>
      <c r="AL22" s="244">
        <f t="shared" si="5"/>
        <v>-41329081.230000004</v>
      </c>
      <c r="AM22" s="262">
        <f t="shared" si="6"/>
        <v>0</v>
      </c>
      <c r="AN22" s="262">
        <f t="shared" si="7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9"/>
        <v>9</v>
      </c>
      <c r="BG22" s="205" t="s">
        <v>128</v>
      </c>
      <c r="BH22" s="10"/>
      <c r="BI22" s="383">
        <f>[20]Gas!D21</f>
        <v>0</v>
      </c>
      <c r="BJ22" s="383">
        <f>[20]Gas!E21</f>
        <v>0</v>
      </c>
      <c r="BK22" s="383">
        <f>[20]Gas!F21</f>
        <v>0</v>
      </c>
      <c r="BL22" s="383">
        <f>[20]Gas!G21</f>
        <v>0</v>
      </c>
      <c r="BM22" s="383">
        <f>[20]Gas!H21</f>
        <v>0</v>
      </c>
      <c r="BN22" s="16"/>
      <c r="BV22" s="136">
        <f t="shared" si="10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4"/>
        <v>9</v>
      </c>
      <c r="DK22" s="240" t="s">
        <v>128</v>
      </c>
      <c r="DL22" s="180"/>
      <c r="DM22" s="190">
        <f>+'[21]Gas RS + RP'!D20</f>
        <v>0</v>
      </c>
      <c r="DN22" s="190">
        <f>+'[21]Gas RS + RP'!E20</f>
        <v>0</v>
      </c>
      <c r="DO22" s="162">
        <f t="shared" si="15"/>
        <v>0</v>
      </c>
      <c r="DP22" s="190">
        <f>+'[21]Gas RS + RP'!G20</f>
        <v>0</v>
      </c>
      <c r="DQ22" s="190">
        <f t="shared" si="16"/>
        <v>0</v>
      </c>
      <c r="DR22" s="27">
        <f t="shared" si="17"/>
        <v>9</v>
      </c>
      <c r="DS22" s="48"/>
      <c r="DT22" s="186"/>
      <c r="DU22" s="472"/>
      <c r="DV22" s="472"/>
      <c r="DW22" s="472"/>
      <c r="DX22" s="472"/>
      <c r="DY22" s="472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31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37"/>
        <v>9</v>
      </c>
      <c r="FO22" s="212" t="s">
        <v>357</v>
      </c>
      <c r="FP22" s="180"/>
      <c r="FQ22" s="244"/>
      <c r="FR22" s="244"/>
      <c r="FS22" s="244">
        <f>+'[31]Lead G'!F22</f>
        <v>0</v>
      </c>
      <c r="FT22" s="244">
        <f>+'[31]Lead G'!G22</f>
        <v>-837676.79158140963</v>
      </c>
      <c r="FU22" s="244">
        <f>+FT22-FS22</f>
        <v>-837676.79158140963</v>
      </c>
      <c r="FV22" s="27">
        <v>9</v>
      </c>
      <c r="FW22" s="279" t="s">
        <v>344</v>
      </c>
      <c r="FX22" s="209"/>
      <c r="FY22" s="462">
        <f>+'[26]Lead G'!D18</f>
        <v>0</v>
      </c>
      <c r="FZ22" s="462">
        <f>+'[26]Lead G'!E18</f>
        <v>0</v>
      </c>
      <c r="GA22" s="462">
        <f t="shared" si="59"/>
        <v>0</v>
      </c>
      <c r="GB22" s="462">
        <f>+'[26]Lead G'!G18</f>
        <v>0</v>
      </c>
      <c r="GC22" s="462">
        <f t="shared" si="38"/>
        <v>0</v>
      </c>
      <c r="GD22" s="208">
        <f t="shared" si="39"/>
        <v>9</v>
      </c>
      <c r="GE22" s="212" t="s">
        <v>381</v>
      </c>
      <c r="GF22" s="212"/>
      <c r="GG22" s="244">
        <f>'[32]Gas Lead '!D22</f>
        <v>0</v>
      </c>
      <c r="GH22" s="244">
        <f>'[32]Gas Lead '!E22</f>
        <v>0</v>
      </c>
      <c r="GI22" s="244">
        <v>0</v>
      </c>
      <c r="GJ22" s="244">
        <f>'[32]Gas Lead '!G22</f>
        <v>10329621.234443244</v>
      </c>
      <c r="GK22" s="244">
        <f t="shared" si="40"/>
        <v>10329621.234443244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373</v>
      </c>
      <c r="GV22" s="1">
        <f>FIT_GAS</f>
        <v>0.21</v>
      </c>
      <c r="GW22" s="487" t="s">
        <v>374</v>
      </c>
      <c r="GX22" s="487" t="s">
        <v>374</v>
      </c>
      <c r="GY22" s="487" t="s">
        <v>374</v>
      </c>
      <c r="GZ22" s="487" t="s">
        <v>374</v>
      </c>
      <c r="HA22" s="487" t="s">
        <v>374</v>
      </c>
      <c r="HB22" s="27">
        <v>9</v>
      </c>
      <c r="HC22" s="216" t="s">
        <v>364</v>
      </c>
      <c r="HD22" s="216"/>
      <c r="HE22" s="482">
        <f t="shared" ref="HE22:HF22" si="82">SUM(HE21)</f>
        <v>0</v>
      </c>
      <c r="HF22" s="482">
        <f t="shared" si="82"/>
        <v>0</v>
      </c>
      <c r="HG22" s="482">
        <f>SUM(HG21)</f>
        <v>0</v>
      </c>
      <c r="HH22" s="482">
        <f t="shared" ref="HH22" si="83">SUM(HH21)</f>
        <v>156400.22579821481</v>
      </c>
      <c r="HI22" s="254">
        <f>SUM(HI21)</f>
        <v>156400.22579821481</v>
      </c>
      <c r="HJ22" s="326">
        <f t="shared" si="44"/>
        <v>9</v>
      </c>
      <c r="HK22" s="225" t="s">
        <v>88</v>
      </c>
      <c r="HM22" s="109">
        <f>-HM19-HM21</f>
        <v>-18651147.34412555</v>
      </c>
      <c r="HN22" s="109">
        <f t="shared" ref="HN22:HQ22" si="84">-HN19-HN21</f>
        <v>-18651147.34412555</v>
      </c>
      <c r="HO22" s="109">
        <f t="shared" si="84"/>
        <v>0</v>
      </c>
      <c r="HP22" s="109">
        <f t="shared" si="84"/>
        <v>-18954964.711965621</v>
      </c>
      <c r="HQ22" s="109">
        <f t="shared" si="84"/>
        <v>-303817.36784007057</v>
      </c>
      <c r="HR22" s="106">
        <f t="shared" si="45"/>
        <v>9</v>
      </c>
      <c r="HS22" s="5"/>
      <c r="HT22" s="5"/>
      <c r="HU22" s="5"/>
      <c r="HV22" s="5"/>
      <c r="HW22" s="5"/>
      <c r="HX22" s="5"/>
      <c r="HY22" s="5"/>
    </row>
    <row r="23" spans="1:236" ht="16.5" customHeight="1" thickTop="1" thickBot="1" x14ac:dyDescent="0.3">
      <c r="A23" s="237">
        <f t="shared" si="0"/>
        <v>10</v>
      </c>
      <c r="B23" s="370" t="s">
        <v>473</v>
      </c>
      <c r="C23" s="240"/>
      <c r="D23" s="504" t="s">
        <v>483</v>
      </c>
      <c r="E23" s="406"/>
      <c r="F23" s="248">
        <f>+'[17]Gas Lead'!E21</f>
        <v>48508.420000000006</v>
      </c>
      <c r="G23" s="506" t="s">
        <v>483</v>
      </c>
      <c r="H23" s="243">
        <f>'[17]Gas Lead'!$G$21-F23</f>
        <v>8284.9599999986021</v>
      </c>
      <c r="I23" s="106">
        <f t="shared" si="25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4"/>
        <v>11</v>
      </c>
      <c r="AH23" s="39" t="s">
        <v>408</v>
      </c>
      <c r="AI23" s="280"/>
      <c r="AJ23" s="248">
        <f>+'[8]Lead 3.05  '!D19</f>
        <v>242193.71000000005</v>
      </c>
      <c r="AK23" s="262"/>
      <c r="AL23" s="244">
        <f t="shared" si="5"/>
        <v>-242193.71000000005</v>
      </c>
      <c r="AM23" s="262">
        <f t="shared" si="6"/>
        <v>0</v>
      </c>
      <c r="AN23" s="262">
        <f t="shared" si="7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9"/>
        <v>10</v>
      </c>
      <c r="BG23" s="205" t="s">
        <v>129</v>
      </c>
      <c r="BI23" s="464">
        <f>[20]Gas!D22</f>
        <v>1051189.7681332757</v>
      </c>
      <c r="BJ23" s="464">
        <f>[20]Gas!E22</f>
        <v>1103125.4735233695</v>
      </c>
      <c r="BK23" s="464">
        <f>[20]Gas!F22</f>
        <v>51935.705390093848</v>
      </c>
      <c r="BL23" s="464">
        <f>[20]Gas!G22</f>
        <v>1103125.4735233695</v>
      </c>
      <c r="BM23" s="464">
        <f>[20]Gas!H22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4"/>
        <v>10</v>
      </c>
      <c r="DK23" s="240" t="s">
        <v>129</v>
      </c>
      <c r="DL23" s="185"/>
      <c r="DM23" s="163">
        <f>+'[21]Gas RS + RP'!D21</f>
        <v>14431674.188193813</v>
      </c>
      <c r="DN23" s="163">
        <f>+'[21]Gas RS + RP'!E21</f>
        <v>14448286.588557353</v>
      </c>
      <c r="DO23" s="164">
        <f t="shared" si="15"/>
        <v>16612.400363540277</v>
      </c>
      <c r="DP23" s="163">
        <f>+'[21]Gas RS + RP'!G21</f>
        <v>15001205.100258833</v>
      </c>
      <c r="DQ23" s="163">
        <f t="shared" si="16"/>
        <v>552918.51170147955</v>
      </c>
      <c r="DR23" s="27">
        <f t="shared" si="17"/>
        <v>10</v>
      </c>
      <c r="DS23" s="473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9">
        <f>-EC21*$EB$23</f>
        <v>2993.8940277558377</v>
      </c>
      <c r="ED23" s="479">
        <f>-ED21*$EB$23</f>
        <v>164.12020819553175</v>
      </c>
      <c r="EE23" s="479">
        <f t="shared" ref="EE23:EF23" si="85">-EE21*$EB$23</f>
        <v>-2829.7738195601578</v>
      </c>
      <c r="EF23" s="479">
        <f t="shared" si="85"/>
        <v>-81850.624882837321</v>
      </c>
      <c r="EG23" s="479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31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37"/>
        <v>10</v>
      </c>
      <c r="FO23" s="212" t="s">
        <v>358</v>
      </c>
      <c r="FP23" s="180"/>
      <c r="FQ23" s="244"/>
      <c r="FR23" s="244"/>
      <c r="FS23" s="244">
        <f>+'[31]Lead G'!F23</f>
        <v>0</v>
      </c>
      <c r="FT23" s="244">
        <f>+'[31]Lead G'!G23</f>
        <v>-879560.63116048009</v>
      </c>
      <c r="FU23" s="244">
        <f>+FT23-FS23</f>
        <v>-879560.63116048009</v>
      </c>
      <c r="FV23" s="27">
        <v>10</v>
      </c>
      <c r="FW23" s="185" t="s">
        <v>411</v>
      </c>
      <c r="FX23" s="209"/>
      <c r="FY23" s="462"/>
      <c r="FZ23" s="462"/>
      <c r="GA23" s="462"/>
      <c r="GB23" s="462"/>
      <c r="GC23" s="462"/>
      <c r="GD23" s="208">
        <f t="shared" si="39"/>
        <v>10</v>
      </c>
      <c r="GE23" s="212" t="s">
        <v>382</v>
      </c>
      <c r="GF23" s="212"/>
      <c r="GG23" s="244">
        <f>'[32]Gas Lead '!D23</f>
        <v>0</v>
      </c>
      <c r="GH23" s="244">
        <f>'[32]Gas Lead '!E23</f>
        <v>0</v>
      </c>
      <c r="GI23" s="244">
        <v>0</v>
      </c>
      <c r="GJ23" s="244">
        <f>'[32]Gas Lead '!G23</f>
        <v>-1721603.539073874</v>
      </c>
      <c r="GK23" s="244">
        <f t="shared" si="40"/>
        <v>-1721603.539073874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86">
        <f t="shared" ref="GW23:GZ23" si="86">-GW20</f>
        <v>0</v>
      </c>
      <c r="GX23" s="486">
        <f t="shared" si="86"/>
        <v>0</v>
      </c>
      <c r="GY23" s="486">
        <f t="shared" si="86"/>
        <v>0</v>
      </c>
      <c r="GZ23" s="486">
        <f t="shared" si="86"/>
        <v>722630.37767299998</v>
      </c>
      <c r="HA23" s="486">
        <f>-HA20</f>
        <v>722630.37767299998</v>
      </c>
      <c r="HB23" s="27">
        <v>10</v>
      </c>
      <c r="HC23" s="217"/>
      <c r="HD23" s="217"/>
      <c r="HE23" s="412"/>
      <c r="HF23" s="412"/>
      <c r="HG23" s="412"/>
      <c r="HH23" s="412"/>
      <c r="HI23" s="483"/>
      <c r="HR23" s="106">
        <f t="shared" si="45"/>
        <v>10</v>
      </c>
      <c r="HS23" s="5" t="s">
        <v>360</v>
      </c>
      <c r="HT23" s="5"/>
      <c r="HU23" s="5"/>
      <c r="HV23" s="5"/>
      <c r="HW23" s="5"/>
      <c r="HX23" s="5"/>
      <c r="HY23" s="5"/>
    </row>
    <row r="24" spans="1:236" ht="15.6" customHeight="1" thickTop="1" x14ac:dyDescent="0.25">
      <c r="A24" s="237">
        <f t="shared" si="0"/>
        <v>11</v>
      </c>
      <c r="B24" s="370" t="s">
        <v>308</v>
      </c>
      <c r="C24" s="240"/>
      <c r="D24" s="504"/>
      <c r="E24" s="406"/>
      <c r="F24" s="248">
        <f>+'[17]Gas Lead'!E22</f>
        <v>-6899336.8599999994</v>
      </c>
      <c r="G24" s="506"/>
      <c r="H24" s="243">
        <v>0</v>
      </c>
      <c r="I24" s="106">
        <f t="shared" ref="I24:I32" si="87">I23+1</f>
        <v>11</v>
      </c>
      <c r="J24" s="224" t="s">
        <v>92</v>
      </c>
      <c r="K24" s="250">
        <f>'COC, Def, ConvF'!$M$12</f>
        <v>5.1240000000000001E-3</v>
      </c>
      <c r="L24" s="454">
        <f t="shared" ref="L24:M26" si="88">L$19*$K24</f>
        <v>22224.103005390611</v>
      </c>
      <c r="M24" s="454">
        <f t="shared" si="88"/>
        <v>22441.234195951929</v>
      </c>
      <c r="N24" s="454">
        <f>M24-L24</f>
        <v>217.13119056131836</v>
      </c>
      <c r="O24" s="454">
        <f>+[18]Lead!G19</f>
        <v>202406.61140712298</v>
      </c>
      <c r="P24" s="454">
        <f>O24-M24</f>
        <v>179965.37721117106</v>
      </c>
      <c r="Y24" s="114"/>
      <c r="Z24" s="61"/>
      <c r="AA24" s="387"/>
      <c r="AG24" s="237">
        <f t="shared" si="4"/>
        <v>12</v>
      </c>
      <c r="AH24" s="39" t="s">
        <v>260</v>
      </c>
      <c r="AI24" s="280"/>
      <c r="AJ24" s="248">
        <f>+'[8]Lead 3.05  '!D20</f>
        <v>308145.35000000003</v>
      </c>
      <c r="AK24" s="262">
        <f>+'[8]Lead 3.05  '!E19</f>
        <v>0</v>
      </c>
      <c r="AL24" s="248">
        <f t="shared" si="5"/>
        <v>-308145.35000000003</v>
      </c>
      <c r="AM24" s="262">
        <f t="shared" si="6"/>
        <v>0</v>
      </c>
      <c r="AN24" s="262">
        <f t="shared" si="7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9"/>
        <v>11</v>
      </c>
      <c r="BG24" s="153" t="s">
        <v>169</v>
      </c>
      <c r="BH24" s="153"/>
      <c r="BI24" s="159">
        <f>SUM(BI14:BI23)</f>
        <v>3814740.0498376964</v>
      </c>
      <c r="BJ24" s="159">
        <f t="shared" ref="BJ24:BM24" si="89">SUM(BJ14:BJ23)</f>
        <v>4032317.7230348806</v>
      </c>
      <c r="BK24" s="159">
        <f t="shared" si="89"/>
        <v>217577.67319718417</v>
      </c>
      <c r="BL24" s="159">
        <f t="shared" si="89"/>
        <v>4032317.7230348806</v>
      </c>
      <c r="BM24" s="159">
        <f t="shared" si="89"/>
        <v>0</v>
      </c>
      <c r="BN24" s="16"/>
      <c r="BV24" s="16"/>
      <c r="BW24" s="224"/>
      <c r="CL24" s="27"/>
      <c r="CM24" s="224"/>
      <c r="CN24" s="224"/>
      <c r="DB24" s="16"/>
      <c r="DJ24" s="27">
        <f t="shared" si="14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7"/>
        <v>11</v>
      </c>
      <c r="DS24" s="474" t="s">
        <v>304</v>
      </c>
      <c r="DT24" s="27"/>
      <c r="DU24" s="497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5"/>
      <c r="ED24" s="465"/>
      <c r="EE24" s="465"/>
      <c r="EF24" s="465"/>
      <c r="EG24" s="465"/>
      <c r="EH24" s="114"/>
      <c r="EK24" s="337"/>
      <c r="EL24" s="337"/>
      <c r="EM24" s="337"/>
      <c r="EN24" s="337"/>
      <c r="EO24" s="337"/>
      <c r="EP24" s="326">
        <f t="shared" si="31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37"/>
        <v>11</v>
      </c>
      <c r="FO24" s="212" t="s">
        <v>489</v>
      </c>
      <c r="FP24" s="180"/>
      <c r="FQ24" s="254">
        <f>SUM(FQ21:FQ23)</f>
        <v>0</v>
      </c>
      <c r="FR24" s="254">
        <f t="shared" ref="FR24:FU24" si="90">SUM(FR21:FR23)</f>
        <v>0</v>
      </c>
      <c r="FS24" s="254">
        <f t="shared" si="90"/>
        <v>0</v>
      </c>
      <c r="FT24" s="254">
        <f t="shared" si="90"/>
        <v>3308823.3267465685</v>
      </c>
      <c r="FU24" s="254">
        <f t="shared" si="90"/>
        <v>3308823.3267465685</v>
      </c>
      <c r="FV24" s="27">
        <v>11</v>
      </c>
      <c r="FW24" s="388" t="s">
        <v>412</v>
      </c>
      <c r="FX24" s="209"/>
      <c r="FY24" s="462">
        <f>+'[26]Lead G'!D20</f>
        <v>0</v>
      </c>
      <c r="FZ24" s="462">
        <f>+'[26]Lead G'!E20</f>
        <v>0</v>
      </c>
      <c r="GA24" s="462">
        <f t="shared" ref="GA24" si="91">FZ24-FY24</f>
        <v>0</v>
      </c>
      <c r="GB24" s="462">
        <f>+'[26]Lead G'!G20</f>
        <v>0</v>
      </c>
      <c r="GC24" s="462">
        <f t="shared" si="38"/>
        <v>0</v>
      </c>
      <c r="GD24" s="208">
        <f t="shared" si="39"/>
        <v>11</v>
      </c>
      <c r="GE24" s="212" t="s">
        <v>383</v>
      </c>
      <c r="GF24" s="212"/>
      <c r="GG24" s="244">
        <f>'[32]Gas Lead '!D24</f>
        <v>0</v>
      </c>
      <c r="GH24" s="244">
        <f>'[32]Gas Lead '!E24</f>
        <v>0</v>
      </c>
      <c r="GI24" s="244">
        <v>0</v>
      </c>
      <c r="GJ24" s="244">
        <f>'[32]Gas Lead '!G24</f>
        <v>-1807683.7160275693</v>
      </c>
      <c r="GK24" s="244">
        <f t="shared" si="40"/>
        <v>-1807683.7160275693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148">
        <f t="shared" ref="HE24:HH24" si="92">HE22</f>
        <v>0</v>
      </c>
      <c r="HF24" s="148">
        <f t="shared" si="92"/>
        <v>0</v>
      </c>
      <c r="HG24" s="148">
        <f t="shared" si="92"/>
        <v>0</v>
      </c>
      <c r="HH24" s="148">
        <f t="shared" si="92"/>
        <v>156400.22579821481</v>
      </c>
      <c r="HI24" s="148">
        <f>HI22</f>
        <v>156400.22579821481</v>
      </c>
      <c r="HR24" s="106">
        <f t="shared" si="45"/>
        <v>11</v>
      </c>
      <c r="HS24" s="5" t="s">
        <v>528</v>
      </c>
      <c r="HT24" s="5"/>
      <c r="HU24" s="107">
        <f>'[33]Lead G'!$D$24</f>
        <v>0</v>
      </c>
      <c r="HV24" s="107">
        <f>'[33]Lead G'!$E$24</f>
        <v>0</v>
      </c>
      <c r="HW24" s="107">
        <f>'[33]Lead G'!$F$24</f>
        <v>0</v>
      </c>
      <c r="HX24" s="107">
        <f>'[33]Lead G'!$G$24</f>
        <v>348243.00000000006</v>
      </c>
      <c r="HY24" s="107">
        <f>'[33]Lead G'!$H$24</f>
        <v>348243.00000000006</v>
      </c>
    </row>
    <row r="25" spans="1:236" ht="15.75" thickBot="1" x14ac:dyDescent="0.3">
      <c r="A25" s="237">
        <f t="shared" si="0"/>
        <v>12</v>
      </c>
      <c r="B25" s="370" t="s">
        <v>390</v>
      </c>
      <c r="C25" s="240"/>
      <c r="D25" s="504"/>
      <c r="E25" s="406"/>
      <c r="F25" s="248">
        <f>+'[17]Gas Lead'!E23</f>
        <v>0</v>
      </c>
      <c r="G25" s="506"/>
      <c r="H25" s="243">
        <f>+'[17]Gas Lead'!G23</f>
        <v>-6115339.9499999993</v>
      </c>
      <c r="I25" s="106">
        <f t="shared" si="87"/>
        <v>12</v>
      </c>
      <c r="J25" s="224" t="s">
        <v>93</v>
      </c>
      <c r="K25" s="250">
        <f>'COC, Def, ConvF'!$M$13</f>
        <v>2E-3</v>
      </c>
      <c r="L25" s="454">
        <f t="shared" si="88"/>
        <v>8674.5132729861871</v>
      </c>
      <c r="M25" s="454">
        <f t="shared" si="88"/>
        <v>8759.2639328461864</v>
      </c>
      <c r="N25" s="455">
        <f t="shared" ref="N25:N26" si="93">M25-L25</f>
        <v>84.750659859999359</v>
      </c>
      <c r="O25" s="454">
        <f>+[18]Lead!G20</f>
        <v>79003.361204966044</v>
      </c>
      <c r="P25" s="455">
        <f t="shared" ref="P25:P26" si="94">O25-M25</f>
        <v>70244.097272119863</v>
      </c>
      <c r="AG25" s="237">
        <f t="shared" si="4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9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4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7"/>
        <v>12</v>
      </c>
      <c r="DS25" s="475"/>
      <c r="DT25" s="25"/>
      <c r="DU25" s="465"/>
      <c r="DV25" s="465"/>
      <c r="DW25" s="465"/>
      <c r="DX25" s="465"/>
      <c r="DY25" s="465"/>
      <c r="DZ25" s="114">
        <v>12</v>
      </c>
      <c r="EA25" s="224" t="s">
        <v>80</v>
      </c>
      <c r="EC25" s="478">
        <f>-EC21-EC23</f>
        <v>11262.744199652914</v>
      </c>
      <c r="ED25" s="478">
        <f t="shared" ref="ED25:EF25" si="95">-ED21-ED23</f>
        <v>617.40459273557178</v>
      </c>
      <c r="EE25" s="478">
        <f t="shared" si="95"/>
        <v>-10645.339606916785</v>
      </c>
      <c r="EF25" s="478">
        <f t="shared" si="95"/>
        <v>-307914.25551162614</v>
      </c>
      <c r="EG25" s="478">
        <f>-EG21-EG23</f>
        <v>-308531.66010436148</v>
      </c>
      <c r="EH25" s="114"/>
      <c r="EK25" s="337"/>
      <c r="EL25" s="337"/>
      <c r="EM25" s="337"/>
      <c r="EN25" s="337"/>
      <c r="EO25" s="337"/>
      <c r="EP25" s="326">
        <f t="shared" si="31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37"/>
        <v>12</v>
      </c>
      <c r="FO25" s="212" t="s">
        <v>490</v>
      </c>
      <c r="FP25" s="180"/>
      <c r="FQ25" s="254"/>
      <c r="FR25" s="254"/>
      <c r="FS25" s="254"/>
      <c r="FT25" s="254"/>
      <c r="FU25" s="254"/>
      <c r="FV25" s="27">
        <v>12</v>
      </c>
      <c r="FW25" s="388" t="s">
        <v>413</v>
      </c>
      <c r="FX25" s="209"/>
      <c r="FY25" s="462">
        <f>+'[26]Lead G'!D21</f>
        <v>0</v>
      </c>
      <c r="FZ25" s="462">
        <f>+'[26]Lead G'!E21</f>
        <v>0</v>
      </c>
      <c r="GA25" s="462">
        <f t="shared" ref="GA25:GA27" si="96">FZ25-FY25</f>
        <v>0</v>
      </c>
      <c r="GB25" s="462">
        <f>+'[26]Lead G'!G21</f>
        <v>0</v>
      </c>
      <c r="GC25" s="462">
        <f t="shared" si="38"/>
        <v>0</v>
      </c>
      <c r="GD25" s="208">
        <f>+GD24+1</f>
        <v>12</v>
      </c>
      <c r="GE25" s="216" t="s">
        <v>384</v>
      </c>
      <c r="GF25" s="212"/>
      <c r="GG25" s="254">
        <f>SUM(GG22:GG24)</f>
        <v>0</v>
      </c>
      <c r="GH25" s="254">
        <f t="shared" ref="GH25:GK25" si="97">SUM(GH22:GH24)</f>
        <v>0</v>
      </c>
      <c r="GI25" s="254">
        <f t="shared" si="97"/>
        <v>0</v>
      </c>
      <c r="GJ25" s="254">
        <f t="shared" si="97"/>
        <v>6800333.9793418013</v>
      </c>
      <c r="GK25" s="254">
        <f t="shared" si="97"/>
        <v>6800333.9793418013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337"/>
      <c r="HF25" s="337"/>
      <c r="HG25" s="337"/>
      <c r="HH25" s="337"/>
      <c r="HI25" s="244"/>
      <c r="HR25" s="106">
        <f t="shared" si="45"/>
        <v>12</v>
      </c>
      <c r="HS25" s="5" t="s">
        <v>364</v>
      </c>
      <c r="HT25" s="5"/>
      <c r="HU25" s="489">
        <f>SUM(HU24:HU24)</f>
        <v>0</v>
      </c>
      <c r="HV25" s="489">
        <f>SUM(HV24:HV24)</f>
        <v>0</v>
      </c>
      <c r="HW25" s="489">
        <f>SUM(HW24:HW24)</f>
        <v>0</v>
      </c>
      <c r="HX25" s="489">
        <f>SUM(HX24:HX24)</f>
        <v>348243.00000000006</v>
      </c>
      <c r="HY25" s="489">
        <f>SUM(HY24:HY24)</f>
        <v>348243.00000000006</v>
      </c>
    </row>
    <row r="26" spans="1:236" ht="16.5" thickTop="1" thickBot="1" x14ac:dyDescent="0.3">
      <c r="A26" s="237">
        <f t="shared" si="0"/>
        <v>13</v>
      </c>
      <c r="B26" s="372" t="s">
        <v>391</v>
      </c>
      <c r="C26" s="240"/>
      <c r="D26" s="504"/>
      <c r="E26" s="406"/>
      <c r="F26" s="248">
        <f>+'[17]Gas Lead'!E24</f>
        <v>10523931</v>
      </c>
      <c r="G26" s="506"/>
      <c r="H26" s="243">
        <v>0</v>
      </c>
      <c r="I26" s="106">
        <f t="shared" si="87"/>
        <v>13</v>
      </c>
      <c r="J26" s="224" t="s">
        <v>95</v>
      </c>
      <c r="K26" s="250">
        <f>'COC, Def, ConvF'!$M$14</f>
        <v>3.8323000000000003E-2</v>
      </c>
      <c r="L26" s="454">
        <f t="shared" si="88"/>
        <v>166216.68608032484</v>
      </c>
      <c r="M26" s="454">
        <f t="shared" si="88"/>
        <v>167840.63584923223</v>
      </c>
      <c r="N26" s="455">
        <f t="shared" si="93"/>
        <v>1623.9497689073905</v>
      </c>
      <c r="O26" s="454">
        <f>+[18]Lead!G21</f>
        <v>1513822.9057289569</v>
      </c>
      <c r="P26" s="455">
        <f t="shared" si="94"/>
        <v>1345982.2698797246</v>
      </c>
      <c r="AE26" s="339"/>
      <c r="AG26" s="237">
        <f t="shared" si="4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9"/>
        <v>13</v>
      </c>
      <c r="BG26" s="10" t="s">
        <v>170</v>
      </c>
      <c r="BH26" s="10"/>
      <c r="BI26" s="464">
        <f>[20]Gas!D25</f>
        <v>337604.49441063614</v>
      </c>
      <c r="BJ26" s="464">
        <f>[20]Gas!E25</f>
        <v>356860.11848858697</v>
      </c>
      <c r="BK26" s="464">
        <f>[20]Gas!F25</f>
        <v>19255.624077950837</v>
      </c>
      <c r="BL26" s="464">
        <f>[20]Gas!G25</f>
        <v>356860.11848858697</v>
      </c>
      <c r="BM26" s="464">
        <f>[20]Gas!H25</f>
        <v>0</v>
      </c>
      <c r="BN26" s="16"/>
      <c r="CL26" s="27"/>
      <c r="CM26" s="225"/>
      <c r="CN26" s="225"/>
      <c r="DB26" s="16"/>
      <c r="DJ26" s="27">
        <f t="shared" si="14"/>
        <v>13</v>
      </c>
      <c r="DK26" s="240" t="s">
        <v>85</v>
      </c>
      <c r="DL26" s="180"/>
      <c r="DM26" s="163">
        <f>+'[21]Gas RS + RP'!D24</f>
        <v>3609897.7715194593</v>
      </c>
      <c r="DN26" s="163">
        <f>+DM26+DO26</f>
        <v>3625628.9928652411</v>
      </c>
      <c r="DO26" s="164">
        <f>+'[21]Gas RS + RP'!F24</f>
        <v>15731.221345781985</v>
      </c>
      <c r="DP26" s="163">
        <f>+DN26+DQ26</f>
        <v>3723477.2510908842</v>
      </c>
      <c r="DQ26" s="163">
        <f>+'[21]Gas RS + RP'!H24</f>
        <v>97848.25822564293</v>
      </c>
      <c r="DR26" s="27">
        <f t="shared" si="17"/>
        <v>13</v>
      </c>
      <c r="DS26" s="474" t="s">
        <v>299</v>
      </c>
      <c r="DT26" s="189">
        <f>+'[34]SAP DL Downld'!$H$15</f>
        <v>0.49997132880489842</v>
      </c>
      <c r="DU26" s="190">
        <f>+DU24*$DT$26</f>
        <v>3095944.3866684199</v>
      </c>
      <c r="DV26" s="190">
        <f t="shared" ref="DV26:DY26" si="98">+DV24*$DT$26</f>
        <v>3101248.6734679942</v>
      </c>
      <c r="DW26" s="190">
        <f t="shared" si="98"/>
        <v>5304.286799574289</v>
      </c>
      <c r="DX26" s="190">
        <f t="shared" si="98"/>
        <v>3218784.8840221749</v>
      </c>
      <c r="DY26" s="182">
        <f t="shared" si="98"/>
        <v>117536.2105541807</v>
      </c>
      <c r="EH26" s="114"/>
      <c r="EK26" s="337"/>
      <c r="EL26" s="337"/>
      <c r="EM26" s="337"/>
      <c r="EN26" s="337"/>
      <c r="EO26" s="337"/>
      <c r="EP26" s="326">
        <f t="shared" si="31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37"/>
        <v>13</v>
      </c>
      <c r="FO26" s="180" t="s">
        <v>359</v>
      </c>
      <c r="FP26" s="180"/>
      <c r="FQ26" s="13">
        <f>FQ19+FQ24</f>
        <v>0</v>
      </c>
      <c r="FR26" s="13">
        <f t="shared" ref="FR26:FU26" si="99">FR19+FR24</f>
        <v>0</v>
      </c>
      <c r="FS26" s="13">
        <f t="shared" si="99"/>
        <v>0</v>
      </c>
      <c r="FT26" s="13">
        <f t="shared" si="99"/>
        <v>13882662.572720125</v>
      </c>
      <c r="FU26" s="13">
        <f t="shared" si="99"/>
        <v>13882662.572720125</v>
      </c>
      <c r="FV26" s="27">
        <v>13</v>
      </c>
      <c r="FW26" s="388" t="s">
        <v>416</v>
      </c>
      <c r="FX26" s="209"/>
      <c r="FY26" s="462">
        <f>+'[26]Lead G'!D22</f>
        <v>9085.8152269499988</v>
      </c>
      <c r="FZ26" s="462">
        <f>+'[26]Lead G'!E22</f>
        <v>9085.8152269499988</v>
      </c>
      <c r="GA26" s="462">
        <f t="shared" si="96"/>
        <v>0</v>
      </c>
      <c r="GB26" s="462">
        <f>+'[26]Lead G'!G22</f>
        <v>0</v>
      </c>
      <c r="GC26" s="462">
        <f t="shared" si="38"/>
        <v>-9085.8152269499988</v>
      </c>
      <c r="GD26" s="208">
        <f t="shared" si="39"/>
        <v>13</v>
      </c>
      <c r="GE26" s="212"/>
      <c r="GF26" s="212"/>
      <c r="GG26" s="254"/>
      <c r="GH26" s="254"/>
      <c r="GI26" s="254"/>
      <c r="GJ26" s="254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232">
        <f t="shared" ref="HE26:HH26" si="100">-HE24*$HD$26</f>
        <v>0</v>
      </c>
      <c r="HF26" s="232">
        <f t="shared" si="100"/>
        <v>0</v>
      </c>
      <c r="HG26" s="232">
        <f t="shared" si="100"/>
        <v>0</v>
      </c>
      <c r="HH26" s="232">
        <f t="shared" si="100"/>
        <v>-32844.047417625108</v>
      </c>
      <c r="HI26" s="232">
        <f>-HI24*$HD$26</f>
        <v>-32844.047417625108</v>
      </c>
      <c r="HR26" s="106">
        <f t="shared" si="45"/>
        <v>13</v>
      </c>
      <c r="HS26" s="5"/>
      <c r="HT26" s="488"/>
      <c r="HU26" s="5"/>
      <c r="HV26" s="5"/>
      <c r="HW26" s="5"/>
      <c r="HX26" s="5"/>
      <c r="HY26" s="5"/>
    </row>
    <row r="27" spans="1:236" ht="17.25" thickTop="1" thickBot="1" x14ac:dyDescent="0.3">
      <c r="A27" s="237">
        <f t="shared" si="0"/>
        <v>14</v>
      </c>
      <c r="B27" s="372" t="s">
        <v>392</v>
      </c>
      <c r="C27" s="246"/>
      <c r="D27" s="504"/>
      <c r="E27" s="406"/>
      <c r="F27" s="248">
        <f>+'[17]Gas Lead'!E25</f>
        <v>0</v>
      </c>
      <c r="G27" s="506"/>
      <c r="H27" s="243">
        <f>+'[17]Gas Lead'!G25</f>
        <v>-3747914.02</v>
      </c>
      <c r="I27" s="106">
        <f t="shared" si="87"/>
        <v>14</v>
      </c>
      <c r="J27" s="230" t="s">
        <v>81</v>
      </c>
      <c r="K27" s="5"/>
      <c r="L27" s="456">
        <f>SUM(L24:L26)</f>
        <v>197115.30235870165</v>
      </c>
      <c r="M27" s="456">
        <f>SUM(M24:M26)</f>
        <v>199041.13397803035</v>
      </c>
      <c r="N27" s="456">
        <f>SUM(N24:N26)</f>
        <v>1925.8316193287083</v>
      </c>
      <c r="O27" s="456">
        <f t="shared" ref="O27:P27" si="101">SUM(O24:O26)</f>
        <v>1795232.8783410459</v>
      </c>
      <c r="P27" s="456">
        <f t="shared" si="101"/>
        <v>1596191.7443630155</v>
      </c>
      <c r="AE27" s="338"/>
      <c r="AG27" s="237">
        <f t="shared" si="4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9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4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7"/>
        <v>14</v>
      </c>
      <c r="DS27" s="475"/>
      <c r="DT27" s="25"/>
      <c r="DU27" s="465"/>
      <c r="DV27" s="465"/>
      <c r="DW27" s="465"/>
      <c r="DX27" s="465"/>
      <c r="DY27" s="465"/>
      <c r="EH27" s="114"/>
      <c r="EP27" s="326">
        <f t="shared" si="31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37"/>
        <v>14</v>
      </c>
      <c r="FO27" s="213" t="s">
        <v>490</v>
      </c>
      <c r="FP27" s="180"/>
      <c r="FQ27" s="244"/>
      <c r="FR27" s="244"/>
      <c r="FS27" s="244"/>
      <c r="FT27" s="244"/>
      <c r="FU27" s="244"/>
      <c r="FV27" s="27">
        <v>14</v>
      </c>
      <c r="FW27" s="388" t="s">
        <v>415</v>
      </c>
      <c r="FX27" s="209"/>
      <c r="FY27" s="462">
        <f>+'[26]Lead G'!D23</f>
        <v>19838.542231200001</v>
      </c>
      <c r="FZ27" s="462">
        <f>+'[26]Lead G'!E23</f>
        <v>19838.542231200001</v>
      </c>
      <c r="GA27" s="462">
        <f t="shared" si="96"/>
        <v>0</v>
      </c>
      <c r="GB27" s="462">
        <f>+'[26]Lead G'!G23</f>
        <v>0</v>
      </c>
      <c r="GC27" s="462">
        <f t="shared" si="38"/>
        <v>-19838.542231200001</v>
      </c>
      <c r="GD27" s="208">
        <f t="shared" si="39"/>
        <v>14</v>
      </c>
      <c r="GE27" s="180" t="s">
        <v>359</v>
      </c>
      <c r="GF27" s="180"/>
      <c r="GG27" s="13">
        <f>GG19+GG25</f>
        <v>0</v>
      </c>
      <c r="GH27" s="13">
        <f t="shared" ref="GH27:GK27" si="102">GH19+GH25</f>
        <v>0</v>
      </c>
      <c r="GI27" s="13">
        <f t="shared" si="102"/>
        <v>0</v>
      </c>
      <c r="GJ27" s="13">
        <f t="shared" si="102"/>
        <v>13218338.784336466</v>
      </c>
      <c r="GK27" s="13">
        <f t="shared" si="102"/>
        <v>13218338.784336466</v>
      </c>
      <c r="HB27" s="27">
        <v>14</v>
      </c>
      <c r="HC27" s="219" t="s">
        <v>80</v>
      </c>
      <c r="HD27" s="219"/>
      <c r="HE27" s="258">
        <f t="shared" ref="HE27:HH27" si="103">-HE24-HE26</f>
        <v>0</v>
      </c>
      <c r="HF27" s="258">
        <f t="shared" si="103"/>
        <v>0</v>
      </c>
      <c r="HG27" s="258">
        <f t="shared" si="103"/>
        <v>0</v>
      </c>
      <c r="HH27" s="258">
        <f t="shared" si="103"/>
        <v>-123556.1783805897</v>
      </c>
      <c r="HI27" s="258">
        <f>-HI24-HI26</f>
        <v>-123556.1783805897</v>
      </c>
      <c r="HR27" s="106">
        <f t="shared" si="45"/>
        <v>14</v>
      </c>
      <c r="HS27" s="5" t="s">
        <v>290</v>
      </c>
      <c r="HT27" s="488"/>
      <c r="HU27" s="148">
        <f>'[33]Lead G'!$D$27</f>
        <v>0</v>
      </c>
      <c r="HV27" s="148">
        <f>'[33]Lead G'!$E$27</f>
        <v>0</v>
      </c>
      <c r="HW27" s="148">
        <f>'[33]Lead G'!$F$27</f>
        <v>0</v>
      </c>
      <c r="HX27" s="148">
        <f>'[33]Lead G'!$G$27</f>
        <v>348243.00000000006</v>
      </c>
      <c r="HY27" s="148">
        <f>'[33]Lead G'!$H$27</f>
        <v>348243.00000000006</v>
      </c>
    </row>
    <row r="28" spans="1:236" ht="15.75" x14ac:dyDescent="0.25">
      <c r="A28" s="237">
        <f t="shared" si="0"/>
        <v>15</v>
      </c>
      <c r="B28" s="372" t="s">
        <v>393</v>
      </c>
      <c r="C28" s="246"/>
      <c r="D28" s="505"/>
      <c r="E28" s="405"/>
      <c r="F28" s="248">
        <f>+'[17]Gas Lead'!E26</f>
        <v>-981624</v>
      </c>
      <c r="G28" s="505"/>
      <c r="H28" s="243">
        <v>0</v>
      </c>
      <c r="I28" s="106">
        <f t="shared" si="87"/>
        <v>15</v>
      </c>
      <c r="J28" s="230"/>
      <c r="K28" s="5"/>
      <c r="L28" s="5"/>
      <c r="M28" s="5"/>
      <c r="N28" s="5"/>
      <c r="O28" s="5"/>
      <c r="P28" s="5"/>
      <c r="AE28" s="338"/>
      <c r="AG28" s="237">
        <f t="shared" si="4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 t="shared" ref="AM28:AM30" si="104">AK28</f>
        <v>0</v>
      </c>
      <c r="AN28" s="262">
        <f t="shared" ref="AN28:AN30" si="105"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9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4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7"/>
        <v>15</v>
      </c>
      <c r="DS28" s="476" t="s">
        <v>300</v>
      </c>
      <c r="DT28" s="180"/>
      <c r="DU28" s="477">
        <f>SUM(DU26:DU27)</f>
        <v>3095944.3866684199</v>
      </c>
      <c r="DV28" s="477">
        <f>SUM(DV26:DV27)</f>
        <v>3101248.6734679942</v>
      </c>
      <c r="DW28" s="183">
        <f>+DV28-DU28</f>
        <v>5304.2867995742708</v>
      </c>
      <c r="DX28" s="477">
        <f>SUM(DX26:DX27)</f>
        <v>3218784.8840221749</v>
      </c>
      <c r="DY28" s="182">
        <f>+DX28-DV28</f>
        <v>117536.21055418067</v>
      </c>
      <c r="EH28" s="114"/>
      <c r="EP28" s="326">
        <f t="shared" si="31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37"/>
        <v>15</v>
      </c>
      <c r="FO28" s="214" t="s">
        <v>360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414</v>
      </c>
      <c r="FX28" s="209"/>
      <c r="FY28" s="462">
        <f>+'[26]Lead G'!D24</f>
        <v>109085.93640000001</v>
      </c>
      <c r="FZ28" s="462">
        <f>+'[26]Lead G'!E24</f>
        <v>109085.93640000001</v>
      </c>
      <c r="GA28" s="462">
        <f t="shared" ref="GA28" si="106">FZ28-FY28</f>
        <v>0</v>
      </c>
      <c r="GB28" s="462">
        <f>+'[26]Lead G'!G24</f>
        <v>0</v>
      </c>
      <c r="GC28" s="462">
        <f t="shared" si="38"/>
        <v>-109085.93640000001</v>
      </c>
      <c r="GD28" s="208">
        <f t="shared" si="39"/>
        <v>15</v>
      </c>
      <c r="GE28" s="213"/>
      <c r="GF28" s="213"/>
      <c r="GG28" s="215"/>
      <c r="GH28" s="215"/>
      <c r="GI28" s="215"/>
      <c r="GJ28" s="215"/>
      <c r="GK28" s="389">
        <f>'[32]Common Lead'!GC27-'[32]Gas Lead '!GC27-'[32]Elec Lead '!GC27</f>
        <v>0</v>
      </c>
      <c r="HR28" s="106">
        <f t="shared" si="45"/>
        <v>15</v>
      </c>
      <c r="HS28" s="5"/>
      <c r="HT28" s="5"/>
      <c r="HU28" s="5"/>
      <c r="HV28" s="5"/>
      <c r="HW28" s="5"/>
      <c r="HX28" s="5"/>
      <c r="HY28" s="5"/>
    </row>
    <row r="29" spans="1:236" x14ac:dyDescent="0.25">
      <c r="A29" s="237">
        <f t="shared" si="0"/>
        <v>16</v>
      </c>
      <c r="B29" s="372" t="s">
        <v>394</v>
      </c>
      <c r="C29" s="246"/>
      <c r="D29" s="247"/>
      <c r="E29" s="247"/>
      <c r="F29" s="247">
        <f>SUM(F23:F28)</f>
        <v>2691478.5600000005</v>
      </c>
      <c r="G29" s="247"/>
      <c r="H29" s="247">
        <f t="shared" ref="H29" si="107">SUM(H23:H28)</f>
        <v>-9854969.0099999998</v>
      </c>
      <c r="I29" s="106">
        <f t="shared" si="87"/>
        <v>16</v>
      </c>
      <c r="J29" s="224" t="s">
        <v>366</v>
      </c>
      <c r="K29" s="5"/>
      <c r="L29" s="455">
        <f>+L19-L21-L27</f>
        <v>4140141.3341343915</v>
      </c>
      <c r="M29" s="455">
        <f t="shared" ref="M29:P29" si="108">+M19-M21-M27</f>
        <v>4180590.8324450632</v>
      </c>
      <c r="N29" s="455">
        <f t="shared" si="108"/>
        <v>40449.49831067129</v>
      </c>
      <c r="O29" s="455">
        <f t="shared" si="108"/>
        <v>21108505.860391933</v>
      </c>
      <c r="P29" s="455">
        <f t="shared" si="108"/>
        <v>16927915.027946867</v>
      </c>
      <c r="AG29" s="237">
        <f t="shared" si="4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 t="shared" si="104"/>
        <v>0</v>
      </c>
      <c r="AN29" s="262">
        <f t="shared" si="105"/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9"/>
        <v>16</v>
      </c>
      <c r="BG29" s="49" t="s">
        <v>97</v>
      </c>
      <c r="BH29" s="103">
        <v>0.21</v>
      </c>
      <c r="BI29" s="464">
        <f>-FIT_GAS*BI27</f>
        <v>-871992.35429214977</v>
      </c>
      <c r="BJ29" s="464">
        <f>-FIT_GAS*BJ27</f>
        <v>-921727.3467199282</v>
      </c>
      <c r="BK29" s="464">
        <f>+BJ29-BI29</f>
        <v>-49734.99242777843</v>
      </c>
      <c r="BL29" s="464">
        <f>+BJ29</f>
        <v>-921727.3467199282</v>
      </c>
      <c r="BM29" s="464">
        <f>-BM27*BH29</f>
        <v>0</v>
      </c>
      <c r="BN29" s="16"/>
      <c r="DB29" s="16"/>
      <c r="DJ29" s="27">
        <f t="shared" si="14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7"/>
        <v>16</v>
      </c>
      <c r="DS29" s="476"/>
      <c r="DT29" s="180"/>
      <c r="DU29" s="465"/>
      <c r="DV29" s="465"/>
      <c r="DW29" s="465"/>
      <c r="DX29" s="465"/>
      <c r="DY29" s="465"/>
      <c r="EH29" s="114"/>
      <c r="EP29" s="326">
        <f t="shared" si="31"/>
        <v>16</v>
      </c>
      <c r="EQ29" s="57" t="s">
        <v>511</v>
      </c>
      <c r="ER29" s="326"/>
      <c r="ES29" s="107">
        <f t="shared" ref="ES29:ET29" si="109">-ES23</f>
        <v>-143075300.43646103</v>
      </c>
      <c r="ET29" s="107">
        <f t="shared" si="109"/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37"/>
        <v>16</v>
      </c>
      <c r="FO29" s="216" t="s">
        <v>361</v>
      </c>
      <c r="FP29" s="216"/>
      <c r="FQ29" s="244"/>
      <c r="FR29" s="244"/>
      <c r="FS29" s="244">
        <f>+'[31]Lead G'!F29</f>
        <v>0</v>
      </c>
      <c r="FT29" s="244">
        <f>+'[31]Lead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84">
        <f>SUM(FY15:FY28)</f>
        <v>3437071.0975345504</v>
      </c>
      <c r="FZ29" s="484">
        <f>SUM(FZ15:FZ28)</f>
        <v>2778097.2982822503</v>
      </c>
      <c r="GA29" s="484">
        <f>SUM(GA15:GA28)</f>
        <v>-658973.79925230017</v>
      </c>
      <c r="GB29" s="484">
        <f>SUM(GB15:GB28)</f>
        <v>2608272.4114566003</v>
      </c>
      <c r="GC29" s="484">
        <f>SUM(GC15:GC28)</f>
        <v>-169824.88682564982</v>
      </c>
      <c r="GD29" s="208">
        <f t="shared" si="39"/>
        <v>16</v>
      </c>
      <c r="GE29" s="214" t="s">
        <v>360</v>
      </c>
      <c r="GF29" s="214"/>
      <c r="GG29" s="154"/>
      <c r="GH29" s="154"/>
      <c r="GI29" s="154"/>
      <c r="GJ29" s="154"/>
      <c r="GK29" s="154"/>
      <c r="HR29" s="106">
        <f t="shared" si="45"/>
        <v>16</v>
      </c>
      <c r="HS29" s="5" t="s">
        <v>97</v>
      </c>
      <c r="HT29" s="457">
        <f>FIT_GAS</f>
        <v>0.21</v>
      </c>
      <c r="HU29" s="148">
        <f t="shared" ref="HU29:HW29" si="110">-HU27*$HT$29</f>
        <v>0</v>
      </c>
      <c r="HV29" s="148">
        <f t="shared" si="110"/>
        <v>0</v>
      </c>
      <c r="HW29" s="148">
        <f t="shared" si="110"/>
        <v>0</v>
      </c>
      <c r="HX29" s="148">
        <f>-HX27*$HT$29</f>
        <v>-73131.030000000013</v>
      </c>
      <c r="HY29" s="148">
        <f>HX29-HW29</f>
        <v>-73131.030000000013</v>
      </c>
      <c r="IB29" s="337"/>
    </row>
    <row r="30" spans="1:236" ht="15.75" thickBot="1" x14ac:dyDescent="0.3">
      <c r="A30" s="237">
        <f t="shared" si="0"/>
        <v>17</v>
      </c>
      <c r="B30" s="373"/>
      <c r="C30" s="239"/>
      <c r="D30" s="395"/>
      <c r="E30" s="254"/>
      <c r="F30" s="247"/>
      <c r="G30" s="247"/>
      <c r="H30" s="247"/>
      <c r="I30" s="106">
        <f t="shared" si="87"/>
        <v>17</v>
      </c>
      <c r="J30" s="224"/>
      <c r="K30" s="5"/>
      <c r="L30" s="5"/>
      <c r="M30" s="5"/>
      <c r="N30" s="5"/>
      <c r="O30" s="5"/>
      <c r="P30" s="5"/>
      <c r="AG30" s="237">
        <f t="shared" si="4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 t="shared" si="104"/>
        <v>0</v>
      </c>
      <c r="AN30" s="262">
        <f t="shared" si="105"/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9"/>
        <v>17</v>
      </c>
      <c r="BG30" s="10" t="s">
        <v>80</v>
      </c>
      <c r="BH30" s="280"/>
      <c r="BI30" s="463">
        <f>-BI27-BI29</f>
        <v>-3280352.1899561826</v>
      </c>
      <c r="BJ30" s="463">
        <f>-BJ27-BJ29</f>
        <v>-3467450.4948035395</v>
      </c>
      <c r="BK30" s="463">
        <f>-BK27-BK29</f>
        <v>-187098.30484735657</v>
      </c>
      <c r="BL30" s="463">
        <f>-BL27-BL29</f>
        <v>-3467450.4948035395</v>
      </c>
      <c r="BM30" s="463">
        <f>-BM27-BM29</f>
        <v>0</v>
      </c>
      <c r="DB30" s="16"/>
      <c r="DJ30" s="27">
        <f t="shared" si="14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7"/>
        <v>17</v>
      </c>
      <c r="DS30" s="476" t="s">
        <v>175</v>
      </c>
      <c r="DT30" s="180"/>
      <c r="DU30" s="182">
        <f t="shared" ref="DU30:DV30" si="111">+DU28</f>
        <v>3095944.3866684199</v>
      </c>
      <c r="DV30" s="182">
        <f t="shared" si="111"/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31"/>
        <v>17</v>
      </c>
      <c r="EQ30" s="224" t="s">
        <v>184</v>
      </c>
      <c r="ER30" s="326"/>
      <c r="ES30" s="148">
        <f t="shared" ref="ES30:ET30" si="112">-ES25</f>
        <v>30045813.091656815</v>
      </c>
      <c r="ET30" s="148">
        <f t="shared" si="112"/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37"/>
        <v>17</v>
      </c>
      <c r="FO30" s="216" t="s">
        <v>429</v>
      </c>
      <c r="FQ30" s="244"/>
      <c r="FR30" s="244"/>
      <c r="FS30" s="244"/>
      <c r="FT30" s="244">
        <f>+'[31]Lead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39"/>
        <v>17</v>
      </c>
      <c r="GE30" s="216" t="s">
        <v>403</v>
      </c>
      <c r="GF30" s="216"/>
      <c r="GG30" s="241">
        <f>'[32]Gas Lead '!D30</f>
        <v>0</v>
      </c>
      <c r="GH30" s="241">
        <f>'[32]Gas Lead '!E30</f>
        <v>0</v>
      </c>
      <c r="GI30" s="241">
        <v>0</v>
      </c>
      <c r="GJ30" s="241">
        <f>'[32]Gas Lead '!G30</f>
        <v>2681157.0054726158</v>
      </c>
      <c r="GK30" s="241">
        <f>+GJ30-GI30</f>
        <v>2681157.0054726158</v>
      </c>
      <c r="HR30" s="106">
        <f t="shared" si="45"/>
        <v>17</v>
      </c>
      <c r="HS30" s="5" t="s">
        <v>80</v>
      </c>
      <c r="HT30" s="5"/>
      <c r="HU30" s="109">
        <f t="shared" ref="HU30:HW30" si="113">-HU27-HU29</f>
        <v>0</v>
      </c>
      <c r="HV30" s="109">
        <f t="shared" si="113"/>
        <v>0</v>
      </c>
      <c r="HW30" s="109">
        <f t="shared" si="113"/>
        <v>0</v>
      </c>
      <c r="HX30" s="109">
        <f>-HX27-HX29</f>
        <v>-275111.97000000003</v>
      </c>
      <c r="HY30" s="109">
        <f>-HY27-HY29</f>
        <v>-275111.97000000003</v>
      </c>
    </row>
    <row r="31" spans="1:236" ht="16.5" thickTop="1" thickBot="1" x14ac:dyDescent="0.3">
      <c r="A31" s="237">
        <f t="shared" si="0"/>
        <v>18</v>
      </c>
      <c r="B31" s="373" t="s">
        <v>395</v>
      </c>
      <c r="C31" s="239"/>
      <c r="D31" s="249"/>
      <c r="E31" s="249"/>
      <c r="F31" s="249">
        <f t="shared" ref="F31:H31" si="114">+F20+F29</f>
        <v>-44406847.206164941</v>
      </c>
      <c r="G31" s="249"/>
      <c r="H31" s="249">
        <f t="shared" si="114"/>
        <v>-9803997.7300000004</v>
      </c>
      <c r="I31" s="106">
        <f t="shared" si="87"/>
        <v>18</v>
      </c>
      <c r="J31" s="224" t="s">
        <v>97</v>
      </c>
      <c r="K31" s="457">
        <f>FIT_GAS</f>
        <v>0.21</v>
      </c>
      <c r="L31" s="455">
        <f>L29*$K$31</f>
        <v>869429.68016822217</v>
      </c>
      <c r="M31" s="455">
        <f>M29*$K$31</f>
        <v>877924.07481346326</v>
      </c>
      <c r="N31" s="455">
        <f>N29*$K$31</f>
        <v>8494.3946452409709</v>
      </c>
      <c r="O31" s="455">
        <f>O29*$K$31</f>
        <v>4432786.230682306</v>
      </c>
      <c r="P31" s="455">
        <f>P29*$K$31</f>
        <v>3554862.1558688418</v>
      </c>
      <c r="AG31" s="237">
        <f t="shared" si="4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4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7"/>
        <v>18</v>
      </c>
      <c r="DS31" s="476"/>
      <c r="DT31" s="180"/>
      <c r="DU31" s="185"/>
      <c r="DV31" s="185"/>
      <c r="DW31" s="185"/>
      <c r="DX31" s="185"/>
      <c r="DY31" s="185"/>
      <c r="EH31" s="114"/>
      <c r="EP31" s="326">
        <f t="shared" si="31"/>
        <v>18</v>
      </c>
      <c r="EQ31" s="57" t="s">
        <v>286</v>
      </c>
      <c r="ER31" s="326"/>
      <c r="ES31" s="109">
        <f t="shared" ref="ES31:ET31" si="115">SUM(ES29:ES30)</f>
        <v>-113029487.34480421</v>
      </c>
      <c r="ET31" s="109">
        <f t="shared" si="115"/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37"/>
        <v>18</v>
      </c>
      <c r="FO31" s="216" t="s">
        <v>362</v>
      </c>
      <c r="FP31" s="216"/>
      <c r="FQ31" s="244">
        <v>0</v>
      </c>
      <c r="FR31" s="244">
        <v>0</v>
      </c>
      <c r="FS31" s="244">
        <f>+'[31]Lead G'!F30</f>
        <v>0</v>
      </c>
      <c r="FT31" s="244">
        <f>+'[31]Lead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39"/>
        <v>18</v>
      </c>
      <c r="GE31" s="216" t="s">
        <v>385</v>
      </c>
      <c r="GF31" s="216"/>
      <c r="GG31" s="244">
        <f>'[32]Gas Lead '!D31</f>
        <v>0</v>
      </c>
      <c r="GH31" s="244">
        <f>'[32]Gas Lead '!E31</f>
        <v>0</v>
      </c>
      <c r="GI31" s="244">
        <v>0</v>
      </c>
      <c r="GJ31" s="244">
        <f>'[32]Gas Lead '!G31</f>
        <v>3443207.0781477471</v>
      </c>
      <c r="GK31" s="244">
        <f>+GJ31-GI31</f>
        <v>3443207.0781477471</v>
      </c>
      <c r="HR31" s="106"/>
    </row>
    <row r="32" spans="1:236" ht="16.5" thickTop="1" thickBot="1" x14ac:dyDescent="0.3">
      <c r="A32" s="237">
        <f t="shared" si="0"/>
        <v>19</v>
      </c>
      <c r="B32" s="373"/>
      <c r="C32" s="239"/>
      <c r="D32" s="249"/>
      <c r="E32" s="249"/>
      <c r="F32" s="249"/>
      <c r="G32" s="249"/>
      <c r="H32" s="249"/>
      <c r="I32" s="106">
        <f t="shared" si="87"/>
        <v>19</v>
      </c>
      <c r="J32" s="224" t="s">
        <v>80</v>
      </c>
      <c r="K32" s="458"/>
      <c r="L32" s="456">
        <f>L29-L31</f>
        <v>3270711.6539661693</v>
      </c>
      <c r="M32" s="456">
        <f>M29-M31</f>
        <v>3302666.7576315999</v>
      </c>
      <c r="N32" s="456">
        <f t="shared" ref="N32:O32" si="116">N29-N31</f>
        <v>31955.103665430317</v>
      </c>
      <c r="O32" s="456">
        <f t="shared" si="116"/>
        <v>16675719.629709627</v>
      </c>
      <c r="P32" s="456">
        <f>P29-P31</f>
        <v>13373052.872078026</v>
      </c>
      <c r="AG32" s="237">
        <f t="shared" si="4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7"/>
        <v>19</v>
      </c>
      <c r="DS32" s="476" t="s">
        <v>97</v>
      </c>
      <c r="DT32" s="189">
        <f>+FIT_GAS</f>
        <v>0.21</v>
      </c>
      <c r="DU32" s="23">
        <f t="shared" ref="DU32:DV32" si="117">-DU30*$DT$32</f>
        <v>-650148.32120036811</v>
      </c>
      <c r="DV32" s="23">
        <f t="shared" si="117"/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37"/>
        <v>19</v>
      </c>
      <c r="FO32" s="216" t="s">
        <v>363</v>
      </c>
      <c r="FP32" s="216"/>
      <c r="FQ32" s="244">
        <v>0</v>
      </c>
      <c r="FR32" s="244">
        <v>0</v>
      </c>
      <c r="FS32" s="244">
        <f>+'[31]Lead G'!F31</f>
        <v>0</v>
      </c>
      <c r="FT32" s="244">
        <f>+'[31]Lead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85">
        <f>-FY29-FY31</f>
        <v>-2715286.1670522951</v>
      </c>
      <c r="FZ32" s="485">
        <f t="shared" ref="FZ32:GC32" si="118">-FZ29-FZ31</f>
        <v>-2194696.8656429779</v>
      </c>
      <c r="GA32" s="485">
        <f t="shared" si="118"/>
        <v>520589.30140931718</v>
      </c>
      <c r="GB32" s="485">
        <f t="shared" si="118"/>
        <v>-2060535.2050507143</v>
      </c>
      <c r="GC32" s="485">
        <f t="shared" si="118"/>
        <v>134161.66059226336</v>
      </c>
      <c r="GD32" s="208">
        <f t="shared" si="39"/>
        <v>19</v>
      </c>
      <c r="GE32" s="216" t="s">
        <v>386</v>
      </c>
      <c r="GF32" s="216"/>
      <c r="GG32" s="244">
        <f>'[32]Gas Lead '!D32</f>
        <v>0</v>
      </c>
      <c r="GH32" s="244">
        <f>'[32]Gas Lead '!E32</f>
        <v>0</v>
      </c>
      <c r="GI32" s="244">
        <v>0</v>
      </c>
      <c r="GJ32" s="244">
        <f>'[32]Gas Lead '!G32</f>
        <v>100694.67691519663</v>
      </c>
      <c r="GK32" s="244">
        <f>+GJ32-GI32</f>
        <v>100694.67691519663</v>
      </c>
      <c r="HR32" s="106"/>
    </row>
    <row r="33" spans="1:226" ht="15.75" thickBot="1" x14ac:dyDescent="0.3">
      <c r="A33" s="237">
        <f t="shared" si="0"/>
        <v>20</v>
      </c>
      <c r="B33" s="371" t="s">
        <v>396</v>
      </c>
      <c r="C33" s="238"/>
      <c r="D33" s="508" t="s">
        <v>483</v>
      </c>
      <c r="E33" s="249"/>
      <c r="F33" s="249"/>
      <c r="G33" s="507" t="s">
        <v>483</v>
      </c>
      <c r="H33" s="249"/>
      <c r="I33" s="326"/>
      <c r="J33" s="5"/>
      <c r="AG33" s="237">
        <f t="shared" si="4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4"/>
      <c r="AX33" s="384"/>
      <c r="AY33" s="384"/>
      <c r="AZ33" s="391"/>
      <c r="BA33" s="391"/>
      <c r="BB33" s="391"/>
      <c r="BC33" s="391"/>
      <c r="BD33" s="391"/>
      <c r="DO33" s="328"/>
      <c r="DP33" s="330"/>
      <c r="DQ33" s="328"/>
      <c r="DR33" s="27">
        <f t="shared" si="17"/>
        <v>20</v>
      </c>
      <c r="DS33" s="476"/>
      <c r="DT33" s="180"/>
      <c r="DU33" s="465"/>
      <c r="DV33" s="465"/>
      <c r="DW33" s="465"/>
      <c r="DX33" s="465"/>
      <c r="DY33" s="465"/>
      <c r="ES33" s="148"/>
      <c r="ET33" s="148"/>
      <c r="EU33" s="148"/>
      <c r="EV33" s="148"/>
      <c r="EW33" s="148"/>
      <c r="EX33" s="5"/>
      <c r="FN33" s="114">
        <f t="shared" si="37"/>
        <v>20</v>
      </c>
      <c r="FO33" s="216" t="s">
        <v>364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39"/>
        <v>20</v>
      </c>
      <c r="GE33" s="216" t="s">
        <v>364</v>
      </c>
      <c r="GF33" s="216"/>
      <c r="GG33" s="258">
        <f t="shared" ref="GG33:GH33" si="119">SUM(GG30:GG32)</f>
        <v>0</v>
      </c>
      <c r="GH33" s="258">
        <f t="shared" si="119"/>
        <v>0</v>
      </c>
      <c r="GI33" s="258">
        <f>SUM(GI30:GI32)</f>
        <v>0</v>
      </c>
      <c r="GJ33" s="258">
        <f>SUM(GJ30:GJ32)</f>
        <v>6225058.7605355596</v>
      </c>
      <c r="GK33" s="258">
        <f>SUM(GK30:GK32)</f>
        <v>6225058.7605355596</v>
      </c>
      <c r="HR33" s="106"/>
    </row>
    <row r="34" spans="1:226" ht="17.25" thickTop="1" thickBot="1" x14ac:dyDescent="0.3">
      <c r="A34" s="237">
        <f t="shared" si="0"/>
        <v>21</v>
      </c>
      <c r="B34" s="370" t="s">
        <v>477</v>
      </c>
      <c r="C34" s="238"/>
      <c r="D34" s="508"/>
      <c r="E34" s="403"/>
      <c r="F34" s="249">
        <f>+'[17]Gas Lead'!E32</f>
        <v>-5257549.66233325</v>
      </c>
      <c r="G34" s="507"/>
      <c r="H34" s="243">
        <v>0</v>
      </c>
      <c r="I34" s="326"/>
      <c r="AG34" s="237">
        <f t="shared" si="4"/>
        <v>22</v>
      </c>
      <c r="AH34" s="151" t="s">
        <v>99</v>
      </c>
      <c r="AI34" s="131"/>
      <c r="AJ34" s="248">
        <f>+'[8]Lead 3.05  '!D30</f>
        <v>4799234.8600000003</v>
      </c>
      <c r="AK34" s="262">
        <f>+'[8]Lead 3.05  '!E29</f>
        <v>0</v>
      </c>
      <c r="AL34" s="126">
        <f t="shared" ref="AL34:AL40" si="120">AK34-AJ34</f>
        <v>-4799234.8600000003</v>
      </c>
      <c r="AM34" s="262">
        <f t="shared" ref="AM34:AM40" si="121">AK34</f>
        <v>0</v>
      </c>
      <c r="AN34" s="262">
        <f t="shared" ref="AN34:AN40" si="122">+AM34-AK34</f>
        <v>0</v>
      </c>
      <c r="AW34" s="384"/>
      <c r="AX34" s="384"/>
      <c r="AY34" s="384"/>
      <c r="AZ34" s="384"/>
      <c r="BA34" s="384"/>
      <c r="BB34" s="384"/>
      <c r="BC34" s="384"/>
      <c r="BD34" s="384"/>
      <c r="DO34" s="328"/>
      <c r="DP34" s="330"/>
      <c r="DQ34" s="328"/>
      <c r="DR34" s="27">
        <f t="shared" si="17"/>
        <v>21</v>
      </c>
      <c r="DS34" s="180" t="s">
        <v>80</v>
      </c>
      <c r="DT34" s="180"/>
      <c r="DU34" s="478">
        <f t="shared" ref="DU34:DV34" si="123">-DU30-DU32</f>
        <v>-2445796.0654680519</v>
      </c>
      <c r="DV34" s="478">
        <f t="shared" si="123"/>
        <v>-2449986.4520397154</v>
      </c>
      <c r="DW34" s="478">
        <f>-DW30-DW32</f>
        <v>-4190.3865716636737</v>
      </c>
      <c r="DX34" s="478">
        <f>-DX30-DX32</f>
        <v>-2542840.0583775183</v>
      </c>
      <c r="DY34" s="478">
        <f>-DY30-DY32</f>
        <v>-92853.606337802732</v>
      </c>
      <c r="EX34" s="5"/>
      <c r="FN34" s="114">
        <f t="shared" ref="FN34:FN42" si="124">FN33+1</f>
        <v>21</v>
      </c>
      <c r="FO34" s="217" t="s">
        <v>490</v>
      </c>
      <c r="FP34" s="217"/>
      <c r="FQ34" s="483"/>
      <c r="FR34" s="483"/>
      <c r="FS34" s="483"/>
      <c r="FT34" s="483"/>
      <c r="FU34" s="483"/>
      <c r="GD34" s="208">
        <f t="shared" si="39"/>
        <v>21</v>
      </c>
      <c r="GE34" s="216" t="s">
        <v>387</v>
      </c>
      <c r="GF34" s="231">
        <f>[34]Lead!$E$35</f>
        <v>0.66190000000000004</v>
      </c>
      <c r="GG34" s="218"/>
      <c r="GH34" s="218"/>
      <c r="GI34" s="218"/>
      <c r="GJ34" s="218"/>
      <c r="GK34" s="218"/>
      <c r="HR34" s="106"/>
    </row>
    <row r="35" spans="1:226" ht="16.5" customHeight="1" thickTop="1" x14ac:dyDescent="0.25">
      <c r="A35" s="237">
        <f t="shared" si="0"/>
        <v>22</v>
      </c>
      <c r="B35" s="370" t="s">
        <v>478</v>
      </c>
      <c r="C35" s="240"/>
      <c r="D35" s="509"/>
      <c r="E35" s="404"/>
      <c r="F35" s="244">
        <f>+'[17]Gas Lead'!E33</f>
        <v>-38339579.111994386</v>
      </c>
      <c r="G35" s="503"/>
      <c r="H35" s="243">
        <v>0</v>
      </c>
      <c r="AG35" s="237">
        <f t="shared" si="4"/>
        <v>23</v>
      </c>
      <c r="AH35" s="151" t="s">
        <v>264</v>
      </c>
      <c r="AI35" s="131"/>
      <c r="AJ35" s="248">
        <f>+'[8]Lead 3.05  '!D31</f>
        <v>14625833.34</v>
      </c>
      <c r="AK35" s="262">
        <f>+'[8]Lead 3.05  '!E30</f>
        <v>0</v>
      </c>
      <c r="AL35" s="126">
        <f t="shared" si="120"/>
        <v>-14625833.34</v>
      </c>
      <c r="AM35" s="262">
        <f t="shared" si="121"/>
        <v>0</v>
      </c>
      <c r="AN35" s="262">
        <f t="shared" si="122"/>
        <v>0</v>
      </c>
      <c r="AW35" s="384"/>
      <c r="AX35" s="384"/>
      <c r="AY35" s="384"/>
      <c r="AZ35" s="384"/>
      <c r="BA35" s="384"/>
      <c r="BB35" s="384"/>
      <c r="BC35" s="384"/>
      <c r="BD35" s="384"/>
      <c r="DO35" s="328"/>
      <c r="DP35" s="330"/>
      <c r="DQ35" s="328"/>
      <c r="EX35" s="5"/>
      <c r="FN35" s="114">
        <f t="shared" si="124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39"/>
        <v>22</v>
      </c>
      <c r="GE35" s="219" t="s">
        <v>290</v>
      </c>
      <c r="GF35" s="219"/>
      <c r="GG35" s="244">
        <f>'[32]Gas Lead '!D35</f>
        <v>0</v>
      </c>
      <c r="GH35" s="244">
        <f>'[32]Gas Lead '!E35</f>
        <v>0</v>
      </c>
      <c r="GI35" s="244">
        <v>0</v>
      </c>
      <c r="GJ35" s="244">
        <f>GJ33</f>
        <v>6225058.7605355596</v>
      </c>
      <c r="GK35" s="241">
        <f>+GJ35-GI35</f>
        <v>6225058.7605355596</v>
      </c>
      <c r="HR35" s="106"/>
    </row>
    <row r="36" spans="1:226" x14ac:dyDescent="0.25">
      <c r="A36" s="237">
        <f t="shared" si="0"/>
        <v>23</v>
      </c>
      <c r="B36" s="373" t="s">
        <v>397</v>
      </c>
      <c r="C36" s="239"/>
      <c r="D36" s="247"/>
      <c r="E36" s="247"/>
      <c r="F36" s="247">
        <f t="shared" ref="F36:H36" si="125">SUM(F34:F35)</f>
        <v>-43597128.774327636</v>
      </c>
      <c r="G36" s="247"/>
      <c r="H36" s="247">
        <f t="shared" si="125"/>
        <v>0</v>
      </c>
      <c r="AG36" s="237">
        <f t="shared" si="4"/>
        <v>24</v>
      </c>
      <c r="AH36" s="151" t="s">
        <v>167</v>
      </c>
      <c r="AI36" s="131"/>
      <c r="AJ36" s="248">
        <f>+'[8]Lead 3.05  '!D32</f>
        <v>21844083.23184</v>
      </c>
      <c r="AK36" s="262">
        <f>+'[8]Lead 3.05  '!E31</f>
        <v>0</v>
      </c>
      <c r="AL36" s="126">
        <f t="shared" si="120"/>
        <v>-21844083.23184</v>
      </c>
      <c r="AM36" s="262">
        <f t="shared" si="121"/>
        <v>0</v>
      </c>
      <c r="AN36" s="262">
        <f t="shared" si="122"/>
        <v>0</v>
      </c>
      <c r="AW36" s="384"/>
      <c r="AX36" s="384"/>
      <c r="AY36" s="384"/>
      <c r="AZ36" s="384"/>
      <c r="BA36" s="384"/>
      <c r="BB36" s="384"/>
      <c r="BC36" s="384"/>
      <c r="BD36" s="384"/>
      <c r="DO36" s="328"/>
      <c r="DP36" s="330"/>
      <c r="DQ36" s="328"/>
      <c r="EX36" s="5"/>
      <c r="FN36" s="114">
        <f t="shared" si="124"/>
        <v>23</v>
      </c>
      <c r="FO36" s="219" t="s">
        <v>490</v>
      </c>
      <c r="FP36" s="219"/>
      <c r="FQ36" s="244"/>
      <c r="FR36" s="244"/>
      <c r="FS36" s="244"/>
      <c r="FT36" s="244"/>
      <c r="FU36" s="244"/>
      <c r="GD36" s="208">
        <f t="shared" si="39"/>
        <v>23</v>
      </c>
      <c r="GE36" s="219"/>
      <c r="GF36" s="219"/>
      <c r="GG36" s="244"/>
      <c r="GH36" s="244"/>
      <c r="GI36" s="244"/>
      <c r="GJ36" s="244"/>
      <c r="GK36" s="244"/>
      <c r="HR36" s="106"/>
    </row>
    <row r="37" spans="1:226" x14ac:dyDescent="0.25">
      <c r="A37" s="237">
        <f t="shared" si="0"/>
        <v>24</v>
      </c>
      <c r="B37" s="379"/>
      <c r="C37" s="379"/>
      <c r="D37" s="379"/>
      <c r="E37" s="380"/>
      <c r="F37" s="380"/>
      <c r="G37" s="380"/>
      <c r="H37" s="248">
        <f>+'Common Adj'!$AI$21</f>
        <v>0</v>
      </c>
      <c r="AG37" s="237">
        <f t="shared" si="4"/>
        <v>25</v>
      </c>
      <c r="AH37" s="151" t="s">
        <v>265</v>
      </c>
      <c r="AI37" s="131"/>
      <c r="AJ37" s="248">
        <f>+'[8]Lead 3.05  '!D33</f>
        <v>-23502295.960000001</v>
      </c>
      <c r="AK37" s="262">
        <f>+'[8]Lead 3.05  '!E32</f>
        <v>0</v>
      </c>
      <c r="AL37" s="126">
        <f t="shared" si="120"/>
        <v>23502295.960000001</v>
      </c>
      <c r="AM37" s="262">
        <f t="shared" si="121"/>
        <v>0</v>
      </c>
      <c r="AN37" s="262">
        <f t="shared" si="122"/>
        <v>0</v>
      </c>
      <c r="AW37" s="384"/>
      <c r="AX37" s="384"/>
      <c r="AY37" s="384"/>
      <c r="AZ37" s="384"/>
      <c r="BA37" s="384"/>
      <c r="BB37" s="384"/>
      <c r="BC37" s="384"/>
      <c r="BD37" s="384"/>
      <c r="DO37" s="328"/>
      <c r="DP37" s="330"/>
      <c r="DQ37" s="328"/>
      <c r="FN37" s="114">
        <f t="shared" si="124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39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 t="shared" ref="GH37" si="126">-GH35*GD37</f>
        <v>0</v>
      </c>
      <c r="GI37" s="232">
        <v>0</v>
      </c>
      <c r="GJ37" s="232">
        <f>-GJ35*GF37</f>
        <v>-1307262.3397124675</v>
      </c>
      <c r="GK37" s="232">
        <f>+GJ37-GI37</f>
        <v>-1307262.3397124675</v>
      </c>
      <c r="HR37" s="106"/>
    </row>
    <row r="38" spans="1:226" ht="15.75" thickBot="1" x14ac:dyDescent="0.3">
      <c r="A38" s="237">
        <f t="shared" si="0"/>
        <v>25</v>
      </c>
      <c r="B38" s="10" t="s">
        <v>92</v>
      </c>
      <c r="C38" s="250">
        <f>'COC, Def, ConvF'!$M$12</f>
        <v>5.1240000000000001E-3</v>
      </c>
      <c r="D38" s="379"/>
      <c r="E38" s="251"/>
      <c r="F38" s="248">
        <f>+$C38*F$31</f>
        <v>-227540.68508438917</v>
      </c>
      <c r="G38" s="251"/>
      <c r="H38" s="248">
        <f>+$C38*H$31</f>
        <v>-50235.68436852</v>
      </c>
      <c r="AG38" s="237">
        <f t="shared" si="4"/>
        <v>26</v>
      </c>
      <c r="AH38" s="151" t="s">
        <v>409</v>
      </c>
      <c r="AI38" s="131"/>
      <c r="AJ38" s="248">
        <f>+'[8]Lead 3.05  '!D34</f>
        <v>12000</v>
      </c>
      <c r="AK38" s="262">
        <f>+'[8]Lead 3.05  '!E33</f>
        <v>0</v>
      </c>
      <c r="AL38" s="126">
        <f t="shared" si="120"/>
        <v>-12000</v>
      </c>
      <c r="AM38" s="262">
        <f t="shared" si="121"/>
        <v>0</v>
      </c>
      <c r="AN38" s="262">
        <f t="shared" si="122"/>
        <v>0</v>
      </c>
      <c r="AW38" s="384"/>
      <c r="AX38" s="384"/>
      <c r="AY38" s="384"/>
      <c r="AZ38" s="384"/>
      <c r="BA38" s="384"/>
      <c r="BB38" s="384"/>
      <c r="BC38" s="384"/>
      <c r="BD38" s="384"/>
      <c r="DO38" s="328"/>
      <c r="DP38" s="330"/>
      <c r="DQ38" s="328"/>
      <c r="FN38" s="114">
        <f t="shared" si="124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39"/>
        <v>25</v>
      </c>
      <c r="GE38" s="219" t="s">
        <v>80</v>
      </c>
      <c r="GF38" s="219"/>
      <c r="GG38" s="220">
        <f t="shared" ref="GG38:GI38" si="127">-GG35-GG37</f>
        <v>0</v>
      </c>
      <c r="GH38" s="220">
        <f t="shared" si="127"/>
        <v>0</v>
      </c>
      <c r="GI38" s="220">
        <f t="shared" si="127"/>
        <v>0</v>
      </c>
      <c r="GJ38" s="220">
        <f>-GJ35-GJ37</f>
        <v>-4917796.4208230916</v>
      </c>
      <c r="GK38" s="220">
        <f>-GK35-GK37</f>
        <v>-4917796.4208230916</v>
      </c>
      <c r="HR38" s="106"/>
    </row>
    <row r="39" spans="1:226" ht="15.75" thickTop="1" x14ac:dyDescent="0.25">
      <c r="A39" s="237">
        <f t="shared" si="0"/>
        <v>26</v>
      </c>
      <c r="B39" s="10" t="s">
        <v>93</v>
      </c>
      <c r="C39" s="250">
        <f>'COC, Def, ConvF'!$M$13</f>
        <v>2E-3</v>
      </c>
      <c r="D39" s="379"/>
      <c r="E39" s="251"/>
      <c r="F39" s="248">
        <f>+$C39*F$31</f>
        <v>-88813.694412329889</v>
      </c>
      <c r="G39" s="251"/>
      <c r="H39" s="248">
        <f>+$C39*H$31</f>
        <v>-19607.995460000002</v>
      </c>
      <c r="AG39" s="237">
        <f t="shared" si="4"/>
        <v>27</v>
      </c>
      <c r="AH39" s="151" t="s">
        <v>410</v>
      </c>
      <c r="AI39" s="131"/>
      <c r="AJ39" s="248">
        <f>+'[8]Lead 3.05  '!D35</f>
        <v>15721.66</v>
      </c>
      <c r="AK39" s="262">
        <f>+'[8]Lead 3.05  '!E35</f>
        <v>0</v>
      </c>
      <c r="AL39" s="126">
        <f t="shared" si="120"/>
        <v>-15721.66</v>
      </c>
      <c r="AM39" s="262">
        <f t="shared" si="121"/>
        <v>0</v>
      </c>
      <c r="AN39" s="262">
        <f t="shared" si="122"/>
        <v>0</v>
      </c>
      <c r="AW39" s="384"/>
      <c r="AX39" s="384"/>
      <c r="AY39" s="384"/>
      <c r="AZ39" s="384"/>
      <c r="BA39" s="384"/>
      <c r="BB39" s="384"/>
      <c r="BC39" s="384"/>
      <c r="BD39" s="384"/>
      <c r="DO39" s="328"/>
      <c r="DP39" s="330"/>
      <c r="DQ39" s="328"/>
      <c r="FN39" s="114">
        <f t="shared" si="124"/>
        <v>26</v>
      </c>
      <c r="FO39" s="279" t="s">
        <v>490</v>
      </c>
      <c r="FP39" s="154"/>
      <c r="FQ39" s="154"/>
      <c r="FR39" s="154"/>
      <c r="FS39" s="154"/>
      <c r="FT39" s="154"/>
      <c r="FU39" s="154"/>
    </row>
    <row r="40" spans="1:226" x14ac:dyDescent="0.25">
      <c r="A40" s="237">
        <f t="shared" si="0"/>
        <v>27</v>
      </c>
      <c r="B40" s="10" t="s">
        <v>95</v>
      </c>
      <c r="C40" s="250">
        <f>'COC, Def, ConvF'!$M$14</f>
        <v>3.8323000000000003E-2</v>
      </c>
      <c r="D40" s="379"/>
      <c r="E40" s="251"/>
      <c r="F40" s="248">
        <f>+$C40*F$31</f>
        <v>-1701803.6054818591</v>
      </c>
      <c r="G40" s="251"/>
      <c r="H40" s="248">
        <f>+$C40*H$31</f>
        <v>-375718.60500679002</v>
      </c>
      <c r="AG40" s="237">
        <f>AG38+1</f>
        <v>27</v>
      </c>
      <c r="AH40" s="151" t="s">
        <v>259</v>
      </c>
      <c r="AI40" s="131"/>
      <c r="AJ40" s="248">
        <f>+'[8]Lead 3.05  '!D36</f>
        <v>39993753.130000003</v>
      </c>
      <c r="AK40" s="262">
        <f>+'[8]Lead 3.05  '!E35</f>
        <v>0</v>
      </c>
      <c r="AL40" s="207">
        <f t="shared" si="120"/>
        <v>-39993753.130000003</v>
      </c>
      <c r="AM40" s="262">
        <f t="shared" si="121"/>
        <v>0</v>
      </c>
      <c r="AN40" s="262">
        <f t="shared" si="122"/>
        <v>0</v>
      </c>
      <c r="AW40" s="384"/>
      <c r="AX40" s="384"/>
      <c r="AY40" s="384"/>
      <c r="AZ40" s="384"/>
      <c r="BA40" s="384"/>
      <c r="BB40" s="384"/>
      <c r="BC40" s="384"/>
      <c r="BD40" s="384"/>
      <c r="DO40" s="328"/>
      <c r="DP40" s="330"/>
      <c r="DQ40" s="328"/>
      <c r="FN40" s="114">
        <f t="shared" si="124"/>
        <v>27</v>
      </c>
      <c r="FO40" s="221" t="s">
        <v>491</v>
      </c>
      <c r="FP40" s="222"/>
      <c r="FQ40" s="222"/>
      <c r="FR40" s="222"/>
      <c r="FS40" s="154"/>
      <c r="FT40" s="154"/>
      <c r="FU40" s="154"/>
    </row>
    <row r="41" spans="1:226" x14ac:dyDescent="0.25">
      <c r="A41" s="237">
        <f t="shared" si="0"/>
        <v>28</v>
      </c>
      <c r="B41" s="252" t="s">
        <v>398</v>
      </c>
      <c r="C41" s="252"/>
      <c r="D41" s="253"/>
      <c r="E41" s="254"/>
      <c r="F41" s="254">
        <f t="shared" ref="F41:H41" si="128">SUM(F38:F40)</f>
        <v>-2018157.9849785781</v>
      </c>
      <c r="G41" s="254"/>
      <c r="H41" s="254">
        <f t="shared" si="128"/>
        <v>-445562.28483531001</v>
      </c>
      <c r="AG41" s="237">
        <f t="shared" si="4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4"/>
      <c r="AX41" s="384"/>
      <c r="AY41" s="384"/>
      <c r="AZ41" s="384"/>
      <c r="BA41" s="384"/>
      <c r="BB41" s="384"/>
      <c r="BC41" s="384"/>
      <c r="BD41" s="384"/>
      <c r="DO41" s="328"/>
      <c r="DP41" s="330"/>
      <c r="DQ41" s="328"/>
      <c r="FN41" s="114">
        <f t="shared" si="124"/>
        <v>28</v>
      </c>
      <c r="FO41" s="221" t="s">
        <v>492</v>
      </c>
    </row>
    <row r="42" spans="1:226" x14ac:dyDescent="0.25">
      <c r="A42" s="237">
        <f t="shared" si="0"/>
        <v>29</v>
      </c>
      <c r="B42" s="10"/>
      <c r="C42" s="10"/>
      <c r="D42" s="253"/>
      <c r="E42" s="255"/>
      <c r="F42" s="255"/>
      <c r="G42" s="255"/>
      <c r="H42" s="255"/>
      <c r="AG42" s="237">
        <f t="shared" si="4"/>
        <v>29</v>
      </c>
      <c r="AI42" s="280"/>
      <c r="AJ42" s="280"/>
      <c r="AK42" s="280"/>
      <c r="AL42" s="280"/>
      <c r="AM42" s="280"/>
      <c r="AN42" s="280"/>
      <c r="AW42" s="384"/>
      <c r="AX42" s="384"/>
      <c r="AY42" s="384"/>
      <c r="AZ42" s="384"/>
      <c r="BA42" s="384"/>
      <c r="BB42" s="384"/>
      <c r="BC42" s="384"/>
      <c r="BD42" s="384"/>
      <c r="DO42" s="328"/>
      <c r="DP42" s="330"/>
      <c r="DQ42" s="328"/>
      <c r="FN42" s="114">
        <f t="shared" si="124"/>
        <v>29</v>
      </c>
      <c r="FO42" s="221" t="s">
        <v>493</v>
      </c>
    </row>
    <row r="43" spans="1:226" x14ac:dyDescent="0.25">
      <c r="A43" s="237">
        <f t="shared" si="0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AG43" s="237">
        <f t="shared" si="4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 t="shared" ref="AM43:AM44" si="129">AK43</f>
        <v>0</v>
      </c>
      <c r="AN43" s="262">
        <f t="shared" ref="AN43:AN44" si="130">+AM43-AK43</f>
        <v>0</v>
      </c>
      <c r="AW43" s="384"/>
      <c r="AX43" s="384"/>
      <c r="AY43" s="384"/>
      <c r="AZ43" s="384"/>
      <c r="BA43" s="384"/>
      <c r="BB43" s="384"/>
      <c r="BC43" s="384"/>
      <c r="BD43" s="384"/>
      <c r="DO43" s="328"/>
      <c r="DP43" s="330"/>
      <c r="DQ43" s="328"/>
    </row>
    <row r="44" spans="1:226" x14ac:dyDescent="0.25">
      <c r="A44" s="237">
        <f t="shared" si="0"/>
        <v>31</v>
      </c>
      <c r="B44" s="10" t="s">
        <v>97</v>
      </c>
      <c r="C44" s="256">
        <f>FIT_GAS</f>
        <v>0.21</v>
      </c>
      <c r="D44" s="379"/>
      <c r="E44" s="257"/>
      <c r="F44" s="257">
        <f>+$C$44*F43</f>
        <v>253772.30615966723</v>
      </c>
      <c r="G44" s="257"/>
      <c r="H44" s="257">
        <f>+$C$44*H43</f>
        <v>-1965271.4434845848</v>
      </c>
      <c r="AG44" s="237">
        <f t="shared" si="4"/>
        <v>31</v>
      </c>
      <c r="AH44" s="39" t="s">
        <v>532</v>
      </c>
      <c r="AI44" s="223">
        <f>FIT_GAS</f>
        <v>0.21</v>
      </c>
      <c r="AJ44" s="157">
        <f>AJ43*$AI$44</f>
        <v>375373.31091283698</v>
      </c>
      <c r="AK44" s="262">
        <f t="shared" ref="AK44" si="131">AK43*$AI$44</f>
        <v>0</v>
      </c>
      <c r="AL44" s="157">
        <f>AL43*$AI$44</f>
        <v>-375373.31091283698</v>
      </c>
      <c r="AM44" s="262">
        <f t="shared" si="129"/>
        <v>0</v>
      </c>
      <c r="AN44" s="262">
        <f t="shared" si="130"/>
        <v>0</v>
      </c>
      <c r="AW44" s="384"/>
      <c r="AX44" s="384"/>
      <c r="AY44" s="384"/>
      <c r="AZ44" s="384"/>
      <c r="BA44" s="384"/>
      <c r="BB44" s="384"/>
      <c r="BC44" s="384"/>
      <c r="BD44" s="384"/>
      <c r="DO44" s="328"/>
      <c r="DP44" s="330"/>
      <c r="DQ44" s="328"/>
    </row>
    <row r="45" spans="1:226" ht="15.75" thickBot="1" x14ac:dyDescent="0.3">
      <c r="A45" s="237">
        <f t="shared" si="0"/>
        <v>32</v>
      </c>
      <c r="B45" s="10" t="s">
        <v>80</v>
      </c>
      <c r="C45" s="10"/>
      <c r="D45" s="239"/>
      <c r="E45" s="258"/>
      <c r="F45" s="258">
        <f t="shared" ref="F45:H45" si="132">F43-F44</f>
        <v>954667.24698160542</v>
      </c>
      <c r="G45" s="258"/>
      <c r="H45" s="258">
        <f t="shared" si="132"/>
        <v>-7393164.001680105</v>
      </c>
      <c r="AG45" s="237">
        <f t="shared" si="4"/>
        <v>32</v>
      </c>
      <c r="AH45" s="39" t="s">
        <v>80</v>
      </c>
      <c r="AI45" s="39"/>
      <c r="AJ45" s="132">
        <f t="shared" ref="AJ45:AK45" si="133">AJ43-AJ44</f>
        <v>1412118.6458149583</v>
      </c>
      <c r="AK45" s="132">
        <f t="shared" si="133"/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4"/>
      <c r="AX45" s="384"/>
      <c r="AY45" s="384"/>
      <c r="AZ45" s="384"/>
      <c r="BA45" s="384"/>
      <c r="BB45" s="384"/>
      <c r="BC45" s="384"/>
      <c r="BD45" s="384"/>
      <c r="DO45" s="328"/>
      <c r="DP45" s="330"/>
      <c r="DQ45" s="328"/>
    </row>
    <row r="46" spans="1:226" ht="15.75" thickTop="1" x14ac:dyDescent="0.25">
      <c r="A46" s="237">
        <f t="shared" si="0"/>
        <v>33</v>
      </c>
      <c r="B46" s="10"/>
      <c r="C46" s="239"/>
      <c r="D46" s="239"/>
      <c r="E46" s="239"/>
      <c r="F46" s="239"/>
      <c r="G46" s="57"/>
      <c r="AG46" s="237"/>
      <c r="AW46" s="384"/>
      <c r="AX46" s="384"/>
      <c r="AY46" s="384"/>
      <c r="AZ46" s="384"/>
      <c r="BA46" s="384"/>
      <c r="BB46" s="384"/>
      <c r="BC46" s="384"/>
      <c r="BD46" s="384"/>
      <c r="DO46" s="328"/>
      <c r="DP46" s="330"/>
      <c r="DQ46" s="328"/>
    </row>
    <row r="47" spans="1:226" x14ac:dyDescent="0.25">
      <c r="A47" s="237">
        <f t="shared" si="0"/>
        <v>34</v>
      </c>
      <c r="B47" s="5" t="s">
        <v>507</v>
      </c>
      <c r="C47" s="153"/>
      <c r="D47" s="153"/>
      <c r="E47" s="153"/>
      <c r="F47" s="153"/>
      <c r="G47" s="241"/>
      <c r="H47" s="116"/>
      <c r="AW47" s="384"/>
      <c r="AX47" s="384"/>
      <c r="AY47" s="384"/>
      <c r="AZ47" s="384"/>
      <c r="BA47" s="384"/>
      <c r="BB47" s="384"/>
      <c r="BC47" s="384"/>
      <c r="BD47" s="384"/>
      <c r="DO47" s="328"/>
      <c r="DP47" s="330"/>
      <c r="DQ47" s="328"/>
    </row>
    <row r="48" spans="1:226" x14ac:dyDescent="0.25">
      <c r="A48" s="237">
        <f t="shared" si="0"/>
        <v>35</v>
      </c>
      <c r="B48" s="5" t="s">
        <v>508</v>
      </c>
      <c r="C48" s="239"/>
      <c r="D48" s="239"/>
      <c r="E48" s="239"/>
      <c r="F48" s="239"/>
      <c r="G48" s="239"/>
      <c r="H48" s="392"/>
      <c r="AW48" s="384"/>
      <c r="AX48" s="384"/>
      <c r="AY48" s="384"/>
      <c r="AZ48" s="384"/>
      <c r="BA48" s="384"/>
      <c r="BB48" s="384"/>
      <c r="BC48" s="384"/>
      <c r="BD48" s="384"/>
      <c r="DO48" s="328"/>
      <c r="DP48" s="330"/>
      <c r="DQ48" s="328"/>
    </row>
    <row r="49" spans="1:121" x14ac:dyDescent="0.25">
      <c r="A49" s="237"/>
      <c r="B49" s="154"/>
      <c r="C49" s="393"/>
      <c r="D49" s="393"/>
      <c r="E49" s="393"/>
      <c r="F49" s="393"/>
      <c r="G49" s="393"/>
      <c r="H49" s="393"/>
      <c r="AW49" s="384"/>
      <c r="AX49" s="384"/>
      <c r="AY49" s="384"/>
      <c r="AZ49" s="384"/>
      <c r="BA49" s="384"/>
      <c r="BB49" s="384"/>
      <c r="BC49" s="384"/>
      <c r="BD49" s="384"/>
      <c r="DO49" s="328"/>
      <c r="DP49" s="330"/>
      <c r="DQ49" s="328"/>
    </row>
    <row r="50" spans="1:121" x14ac:dyDescent="0.25">
      <c r="AW50" s="384"/>
      <c r="AX50" s="384"/>
      <c r="AY50" s="384"/>
      <c r="AZ50" s="384"/>
      <c r="BA50" s="384"/>
      <c r="BB50" s="384"/>
      <c r="BC50" s="384"/>
      <c r="BD50" s="384"/>
    </row>
    <row r="51" spans="1:121" x14ac:dyDescent="0.25">
      <c r="I51" s="237"/>
      <c r="J51" s="154"/>
      <c r="K51" s="393"/>
      <c r="L51" s="393"/>
      <c r="M51" s="393"/>
      <c r="N51" s="393"/>
      <c r="O51" s="393"/>
      <c r="P51" s="393"/>
      <c r="AW51" s="384"/>
      <c r="AX51" s="384"/>
      <c r="AY51" s="384"/>
      <c r="AZ51" s="384"/>
      <c r="BA51" s="384"/>
      <c r="BB51" s="384"/>
      <c r="BC51" s="384"/>
      <c r="BD51" s="384"/>
    </row>
    <row r="52" spans="1:121" x14ac:dyDescent="0.25">
      <c r="I52" s="237"/>
      <c r="J52" s="154"/>
      <c r="K52" s="154"/>
      <c r="L52" s="154"/>
      <c r="M52" s="154"/>
      <c r="N52" s="154"/>
      <c r="O52" s="154"/>
      <c r="P52" s="154"/>
      <c r="AW52" s="384"/>
      <c r="AX52" s="384"/>
      <c r="AY52" s="384"/>
      <c r="AZ52" s="384"/>
      <c r="BA52" s="384"/>
      <c r="BB52" s="384"/>
      <c r="BC52" s="384"/>
      <c r="BD52" s="384"/>
    </row>
    <row r="53" spans="1:121" x14ac:dyDescent="0.25">
      <c r="I53" s="237"/>
      <c r="J53" s="154"/>
      <c r="K53" s="393"/>
      <c r="L53" s="393"/>
      <c r="M53" s="393"/>
      <c r="N53" s="393"/>
      <c r="O53" s="393"/>
      <c r="P53" s="393"/>
      <c r="AW53" s="384"/>
      <c r="AX53" s="384"/>
      <c r="AY53" s="384"/>
      <c r="AZ53" s="384"/>
      <c r="BA53" s="384"/>
      <c r="BB53" s="384"/>
      <c r="BC53" s="384"/>
      <c r="BD53" s="384"/>
    </row>
    <row r="54" spans="1:121" x14ac:dyDescent="0.25">
      <c r="I54" s="237"/>
      <c r="J54" s="154"/>
      <c r="K54" s="154"/>
      <c r="L54" s="154"/>
      <c r="M54" s="154"/>
      <c r="N54" s="154"/>
      <c r="O54" s="154"/>
      <c r="P54" s="154"/>
      <c r="AW54" s="384"/>
      <c r="AX54" s="384"/>
      <c r="AY54" s="384"/>
      <c r="AZ54" s="384"/>
      <c r="BA54" s="384"/>
      <c r="BB54" s="384"/>
      <c r="BC54" s="384"/>
      <c r="BD54" s="384"/>
    </row>
    <row r="55" spans="1:121" x14ac:dyDescent="0.25">
      <c r="I55" s="237"/>
      <c r="J55" s="393"/>
      <c r="K55" s="393"/>
      <c r="L55" s="393"/>
      <c r="M55" s="393"/>
      <c r="N55" s="393"/>
      <c r="O55" s="393"/>
      <c r="P55" s="393"/>
      <c r="AW55" s="384"/>
      <c r="AX55" s="384"/>
      <c r="AY55" s="384"/>
      <c r="AZ55" s="384"/>
      <c r="BA55" s="384"/>
      <c r="BB55" s="384"/>
      <c r="BC55" s="384"/>
      <c r="BD55" s="384"/>
    </row>
    <row r="56" spans="1:121" x14ac:dyDescent="0.25">
      <c r="I56" s="237"/>
      <c r="J56" s="393"/>
      <c r="K56" s="393"/>
      <c r="L56" s="393"/>
      <c r="M56" s="393"/>
      <c r="N56" s="393"/>
      <c r="O56" s="393"/>
      <c r="P56" s="393"/>
      <c r="AW56" s="384"/>
      <c r="AX56" s="384"/>
      <c r="AY56" s="384"/>
      <c r="AZ56" s="384"/>
      <c r="BA56" s="384"/>
      <c r="BB56" s="384"/>
      <c r="BC56" s="384"/>
      <c r="BD56" s="384"/>
    </row>
    <row r="57" spans="1:121" x14ac:dyDescent="0.25">
      <c r="I57" s="237"/>
      <c r="J57" s="154"/>
      <c r="K57" s="154"/>
      <c r="L57" s="154"/>
      <c r="M57" s="154"/>
      <c r="N57" s="154"/>
      <c r="O57" s="154"/>
      <c r="P57" s="154"/>
      <c r="AW57" s="384"/>
      <c r="AX57" s="384"/>
      <c r="AY57" s="384"/>
      <c r="AZ57" s="384"/>
      <c r="BA57" s="384"/>
      <c r="BB57" s="384"/>
      <c r="BC57" s="384"/>
      <c r="BD57" s="384"/>
    </row>
    <row r="58" spans="1:121" x14ac:dyDescent="0.25">
      <c r="I58" s="237"/>
      <c r="J58" s="393"/>
      <c r="K58" s="393"/>
      <c r="L58" s="393"/>
      <c r="M58" s="393"/>
      <c r="N58" s="393"/>
      <c r="O58" s="393"/>
      <c r="P58" s="393"/>
      <c r="AW58" s="384"/>
      <c r="AX58" s="384"/>
      <c r="AY58" s="384"/>
      <c r="AZ58" s="384"/>
      <c r="BA58" s="384"/>
      <c r="BB58" s="384"/>
      <c r="BC58" s="384"/>
      <c r="BD58" s="384"/>
    </row>
    <row r="59" spans="1:121" x14ac:dyDescent="0.25">
      <c r="I59" s="237"/>
      <c r="J59" s="393"/>
      <c r="K59" s="393"/>
      <c r="L59" s="393"/>
      <c r="M59" s="393"/>
      <c r="N59" s="393"/>
      <c r="O59" s="393"/>
      <c r="P59" s="393"/>
      <c r="AW59" s="384"/>
      <c r="AX59" s="384"/>
      <c r="AY59" s="384"/>
      <c r="AZ59" s="384"/>
      <c r="BA59" s="384"/>
      <c r="BB59" s="384"/>
      <c r="BC59" s="384"/>
      <c r="BD59" s="384"/>
    </row>
    <row r="60" spans="1:121" x14ac:dyDescent="0.25">
      <c r="I60" s="237"/>
      <c r="J60" s="154"/>
      <c r="K60" s="154"/>
      <c r="L60" s="154"/>
      <c r="M60" s="154"/>
      <c r="N60" s="154"/>
      <c r="O60" s="154"/>
      <c r="P60" s="154"/>
      <c r="AW60" s="384"/>
      <c r="AX60" s="384"/>
      <c r="AY60" s="384"/>
      <c r="AZ60" s="384"/>
      <c r="BA60" s="384"/>
      <c r="BB60" s="384"/>
      <c r="BC60" s="384"/>
      <c r="BD60" s="384"/>
    </row>
    <row r="61" spans="1:121" x14ac:dyDescent="0.25">
      <c r="I61" s="117"/>
      <c r="J61" s="154"/>
      <c r="K61" s="154"/>
      <c r="L61" s="154"/>
      <c r="M61" s="154"/>
      <c r="N61" s="154"/>
      <c r="O61" s="154"/>
      <c r="P61" s="154"/>
      <c r="AW61" s="384"/>
      <c r="AX61" s="384"/>
      <c r="AY61" s="384"/>
      <c r="AZ61" s="384"/>
      <c r="BA61" s="384"/>
      <c r="BB61" s="384"/>
      <c r="BC61" s="384"/>
      <c r="BD61" s="384"/>
    </row>
    <row r="62" spans="1:121" x14ac:dyDescent="0.25">
      <c r="I62" s="117"/>
      <c r="J62" s="393"/>
      <c r="K62" s="393"/>
      <c r="L62" s="393"/>
      <c r="M62" s="393"/>
      <c r="N62" s="393"/>
      <c r="O62" s="393"/>
      <c r="P62" s="393"/>
      <c r="AW62" s="384"/>
      <c r="AX62" s="384"/>
      <c r="AY62" s="384"/>
      <c r="AZ62" s="384"/>
      <c r="BA62" s="384"/>
      <c r="BB62" s="384"/>
      <c r="BC62" s="384"/>
      <c r="BD62" s="384"/>
    </row>
    <row r="63" spans="1:121" x14ac:dyDescent="0.25">
      <c r="I63" s="394"/>
      <c r="J63" s="154"/>
      <c r="K63" s="154"/>
      <c r="L63" s="154"/>
      <c r="M63" s="154"/>
      <c r="N63" s="154"/>
      <c r="O63" s="154"/>
      <c r="P63" s="154"/>
      <c r="AW63" s="384"/>
      <c r="AX63" s="384"/>
      <c r="AY63" s="384"/>
      <c r="AZ63" s="384"/>
      <c r="BA63" s="384"/>
      <c r="BB63" s="384"/>
      <c r="BC63" s="384"/>
      <c r="BD63" s="384"/>
    </row>
    <row r="64" spans="1:121" x14ac:dyDescent="0.25">
      <c r="I64" s="394"/>
      <c r="J64" s="393"/>
      <c r="K64" s="393"/>
      <c r="L64" s="393"/>
      <c r="M64" s="393"/>
      <c r="N64" s="393"/>
      <c r="O64" s="393"/>
      <c r="P64" s="393"/>
    </row>
    <row r="65" spans="9:16" x14ac:dyDescent="0.25">
      <c r="I65" s="394"/>
      <c r="J65" s="154"/>
      <c r="K65" s="154"/>
      <c r="L65" s="154"/>
      <c r="M65" s="154"/>
      <c r="N65" s="154"/>
      <c r="O65" s="154"/>
      <c r="P65" s="154"/>
    </row>
    <row r="66" spans="9:16" x14ac:dyDescent="0.25">
      <c r="I66" s="394"/>
      <c r="J66" s="393"/>
      <c r="K66" s="393"/>
      <c r="L66" s="393"/>
      <c r="M66" s="393"/>
      <c r="N66" s="393"/>
      <c r="O66" s="393"/>
      <c r="P66" s="393"/>
    </row>
    <row r="67" spans="9:16" x14ac:dyDescent="0.25">
      <c r="I67" s="394"/>
      <c r="J67" s="393"/>
      <c r="K67" s="393"/>
      <c r="L67" s="393"/>
      <c r="M67" s="393"/>
      <c r="N67" s="393"/>
      <c r="O67" s="393"/>
      <c r="P67" s="393"/>
    </row>
    <row r="68" spans="9:16" x14ac:dyDescent="0.25">
      <c r="I68" s="394"/>
      <c r="J68" s="393"/>
      <c r="K68" s="393"/>
      <c r="L68" s="393"/>
      <c r="M68" s="393"/>
      <c r="N68" s="393"/>
      <c r="O68" s="393"/>
      <c r="P68" s="393"/>
    </row>
    <row r="69" spans="9:16" x14ac:dyDescent="0.25">
      <c r="I69" s="394"/>
      <c r="J69" s="393"/>
      <c r="K69" s="393"/>
      <c r="L69" s="393"/>
      <c r="M69" s="393"/>
      <c r="N69" s="393"/>
      <c r="O69" s="393"/>
      <c r="P69" s="393"/>
    </row>
    <row r="70" spans="9:16" x14ac:dyDescent="0.25">
      <c r="I70" s="394"/>
      <c r="J70" s="393"/>
      <c r="K70" s="393"/>
      <c r="L70" s="393"/>
      <c r="M70" s="393"/>
      <c r="N70" s="393"/>
      <c r="O70" s="393"/>
      <c r="P70" s="393"/>
    </row>
    <row r="71" spans="9:16" x14ac:dyDescent="0.25">
      <c r="I71" s="394"/>
      <c r="J71" s="393"/>
      <c r="K71" s="393"/>
      <c r="L71" s="393"/>
      <c r="M71" s="393"/>
      <c r="N71" s="393"/>
      <c r="O71" s="393"/>
      <c r="P71" s="393"/>
    </row>
    <row r="72" spans="9:16" x14ac:dyDescent="0.25">
      <c r="I72" s="394"/>
      <c r="J72" s="393"/>
      <c r="K72" s="393"/>
      <c r="L72" s="393"/>
      <c r="M72" s="393"/>
      <c r="N72" s="393"/>
      <c r="O72" s="393"/>
      <c r="P72" s="393"/>
    </row>
    <row r="73" spans="9:16" x14ac:dyDescent="0.25">
      <c r="I73" s="394"/>
      <c r="J73" s="393"/>
      <c r="K73" s="393"/>
      <c r="L73" s="393"/>
      <c r="M73" s="393"/>
      <c r="N73" s="393"/>
      <c r="O73" s="393"/>
      <c r="P73" s="393"/>
    </row>
    <row r="74" spans="9:16" x14ac:dyDescent="0.25">
      <c r="I74" s="394"/>
      <c r="J74" s="393"/>
      <c r="K74" s="393"/>
      <c r="L74" s="393"/>
      <c r="M74" s="393"/>
      <c r="N74" s="393"/>
      <c r="O74" s="393"/>
      <c r="P74" s="393"/>
    </row>
    <row r="75" spans="9:16" x14ac:dyDescent="0.25">
      <c r="I75" s="394"/>
      <c r="J75" s="393"/>
      <c r="K75" s="393"/>
      <c r="L75" s="393"/>
      <c r="M75" s="393"/>
      <c r="N75" s="393"/>
      <c r="O75" s="393"/>
      <c r="P75" s="393"/>
    </row>
    <row r="76" spans="9:16" x14ac:dyDescent="0.25">
      <c r="I76" s="394"/>
      <c r="J76" s="393"/>
      <c r="K76" s="393"/>
      <c r="L76" s="393"/>
      <c r="M76" s="393"/>
      <c r="N76" s="393"/>
      <c r="O76" s="393"/>
      <c r="P76" s="393"/>
    </row>
    <row r="77" spans="9:16" x14ac:dyDescent="0.25">
      <c r="I77" s="394"/>
      <c r="J77" s="393"/>
      <c r="K77" s="393"/>
      <c r="L77" s="393"/>
      <c r="M77" s="393"/>
      <c r="N77" s="393"/>
      <c r="O77" s="393"/>
      <c r="P77" s="393"/>
    </row>
  </sheetData>
  <mergeCells count="36">
    <mergeCell ref="D15:D19"/>
    <mergeCell ref="D23:D28"/>
    <mergeCell ref="G15:G19"/>
    <mergeCell ref="G23:G28"/>
    <mergeCell ref="G33:G35"/>
    <mergeCell ref="D33:D35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GL6:GS6"/>
    <mergeCell ref="GL7:GS7"/>
    <mergeCell ref="GL8:GS8"/>
    <mergeCell ref="GD5:GK5"/>
    <mergeCell ref="GD7:GK7"/>
    <mergeCell ref="GD8:GK8"/>
    <mergeCell ref="HR5:HY5"/>
    <mergeCell ref="HR6:HY6"/>
    <mergeCell ref="HR7:HY7"/>
    <mergeCell ref="HR8:HY8"/>
    <mergeCell ref="HJ5:HQ5"/>
    <mergeCell ref="HJ6:HQ6"/>
    <mergeCell ref="HJ7:HQ7"/>
    <mergeCell ref="HJ8:HQ8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rintOptions horizontalCentered="1"/>
  <pageMargins left="0.45" right="0.45" top="0.75" bottom="0.75" header="0.3" footer="0.3"/>
  <pageSetup scale="1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85" zoomScaleNormal="85" workbookViewId="0">
      <pane xSplit="1" ySplit="1" topLeftCell="B20" activePane="bottomRight" state="frozen"/>
      <selection activeCell="C23" sqref="C23"/>
      <selection pane="topRight" activeCell="C23" sqref="C23"/>
      <selection pane="bottomLeft" activeCell="C23" sqref="C23"/>
      <selection pane="bottomRight" activeCell="B17" sqref="B17"/>
    </sheetView>
  </sheetViews>
  <sheetFormatPr defaultColWidth="9.140625" defaultRowHeight="12.75" x14ac:dyDescent="0.2"/>
  <cols>
    <col min="1" max="1" width="5" style="5" bestFit="1" customWidth="1"/>
    <col min="2" max="2" width="36.7109375" style="5" customWidth="1"/>
    <col min="3" max="3" width="9.140625" style="5"/>
    <col min="4" max="5" width="12.57031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140625" style="5"/>
    <col min="10" max="10" width="5.28515625" style="5" bestFit="1" customWidth="1"/>
    <col min="11" max="11" width="41.140625" style="5" customWidth="1"/>
    <col min="12" max="12" width="9.140625" style="5"/>
    <col min="13" max="14" width="13.7109375" style="5" bestFit="1" customWidth="1"/>
    <col min="15" max="15" width="13.5703125" style="5" bestFit="1" customWidth="1"/>
    <col min="16" max="16" width="13.7109375" style="5" bestFit="1" customWidth="1"/>
    <col min="17" max="17" width="14.42578125" style="5" customWidth="1"/>
    <col min="18" max="16384" width="9.140625" style="5"/>
  </cols>
  <sheetData>
    <row r="1" spans="1:17" ht="13.5" thickBot="1" x14ac:dyDescent="0.25">
      <c r="A1" s="266">
        <f>SUM(B1:Q1)</f>
        <v>0</v>
      </c>
      <c r="B1" s="266"/>
      <c r="C1" s="266"/>
      <c r="D1" s="266"/>
      <c r="E1" s="266"/>
      <c r="F1" s="266"/>
      <c r="G1" s="266">
        <f>ROUND(+'Detailed Summary'!AS57-H19,0)</f>
        <v>0</v>
      </c>
      <c r="H1" s="266">
        <f>ROUND(+'Detailed Summary'!AS46-H19,0)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Summary'!AT57-Q41,0)</f>
        <v>0</v>
      </c>
      <c r="Q1" s="266">
        <f>ROUND(+'Detailed Summary'!AT44-Q33,0)</f>
        <v>0</v>
      </c>
    </row>
    <row r="2" spans="1:17" x14ac:dyDescent="0.2">
      <c r="G2" s="366"/>
      <c r="H2" s="359" t="str">
        <f>DOCKETNUMBER_GAS</f>
        <v>UG_________</v>
      </c>
      <c r="P2" s="366"/>
      <c r="Q2" s="359" t="str">
        <f>DOCKETNUMBER_GAS</f>
        <v>UG_________</v>
      </c>
    </row>
    <row r="3" spans="1:17" ht="13.5" thickBot="1" x14ac:dyDescent="0.25">
      <c r="G3" s="367"/>
      <c r="H3" s="365" t="s">
        <v>471</v>
      </c>
      <c r="I3" s="7"/>
      <c r="P3" s="367"/>
      <c r="Q3" s="365" t="s">
        <v>472</v>
      </c>
    </row>
    <row r="4" spans="1:17" x14ac:dyDescent="0.2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 x14ac:dyDescent="0.2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 x14ac:dyDescent="0.2">
      <c r="A6" s="111" t="s">
        <v>421</v>
      </c>
      <c r="B6" s="110"/>
      <c r="C6" s="110"/>
      <c r="D6" s="110"/>
      <c r="E6" s="110"/>
      <c r="F6" s="110"/>
      <c r="G6" s="110"/>
      <c r="H6" s="110"/>
      <c r="I6" s="110"/>
      <c r="J6" s="111" t="s">
        <v>430</v>
      </c>
      <c r="K6" s="110"/>
      <c r="L6" s="110"/>
      <c r="M6" s="110"/>
      <c r="N6" s="110"/>
      <c r="O6" s="110"/>
      <c r="P6" s="110"/>
      <c r="Q6" s="110"/>
    </row>
    <row r="7" spans="1:17" x14ac:dyDescent="0.2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3.5" thickBot="1" x14ac:dyDescent="0.25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3.5" thickBot="1" x14ac:dyDescent="0.25">
      <c r="A9" s="133"/>
      <c r="B9" s="133"/>
      <c r="C9" s="133"/>
      <c r="D9" s="133"/>
      <c r="E9" s="133"/>
      <c r="F9" s="358" t="s">
        <v>374</v>
      </c>
      <c r="G9" s="133"/>
      <c r="H9" s="368" t="s">
        <v>480</v>
      </c>
      <c r="I9" s="133"/>
      <c r="J9" s="133"/>
      <c r="K9" s="133"/>
      <c r="L9" s="133"/>
      <c r="M9" s="133"/>
      <c r="N9" s="133"/>
      <c r="O9" s="358" t="s">
        <v>374</v>
      </c>
      <c r="P9" s="133"/>
      <c r="Q9" s="368" t="s">
        <v>481</v>
      </c>
    </row>
    <row r="10" spans="1:17" x14ac:dyDescent="0.2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 x14ac:dyDescent="0.2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 x14ac:dyDescent="0.2">
      <c r="A12" s="416" t="s">
        <v>37</v>
      </c>
      <c r="B12" s="490" t="s">
        <v>60</v>
      </c>
      <c r="C12" s="491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6" t="s">
        <v>37</v>
      </c>
      <c r="K12" s="490" t="s">
        <v>60</v>
      </c>
      <c r="L12" s="491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 x14ac:dyDescent="0.2">
      <c r="J13" s="104"/>
      <c r="K13" s="104"/>
      <c r="L13" s="104"/>
      <c r="M13" s="104"/>
      <c r="N13" s="104"/>
      <c r="O13" s="104"/>
      <c r="P13" s="104"/>
      <c r="Q13" s="104"/>
    </row>
    <row r="14" spans="1:17" x14ac:dyDescent="0.2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 x14ac:dyDescent="0.2">
      <c r="A15" s="27">
        <f>+A14+1</f>
        <v>2</v>
      </c>
      <c r="B15" s="99" t="s">
        <v>280</v>
      </c>
      <c r="D15" s="242">
        <f>'[35]Lead G'!D11</f>
        <v>9377979.3800000008</v>
      </c>
      <c r="E15" s="242">
        <f>'[35]Lead G'!E11</f>
        <v>9377979.3800000008</v>
      </c>
      <c r="F15" s="242">
        <f>+E15-D15</f>
        <v>0</v>
      </c>
      <c r="G15" s="242">
        <f>'[35]Lead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-'[17]Summary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'[36]Lead G'!$I$10</f>
        <v>0</v>
      </c>
      <c r="Q15" s="242">
        <f>+P15-N15</f>
        <v>-6980521.1700718822</v>
      </c>
    </row>
    <row r="16" spans="1:17" x14ac:dyDescent="0.2">
      <c r="A16" s="27">
        <f t="shared" ref="A16:A26" si="0">+A15+1</f>
        <v>3</v>
      </c>
      <c r="B16" s="153" t="s">
        <v>377</v>
      </c>
      <c r="D16" s="248">
        <f>'[35]Lead G'!D12</f>
        <v>-39543.813052333338</v>
      </c>
      <c r="E16" s="248">
        <f>'[35]Lead G'!E12</f>
        <v>-39543.813052333338</v>
      </c>
      <c r="F16" s="248">
        <f t="shared" ref="F16:F17" si="1">+E16-D16</f>
        <v>0</v>
      </c>
      <c r="G16" s="248">
        <f>'[35]Lead G'!G12</f>
        <v>0</v>
      </c>
      <c r="H16" s="248">
        <f t="shared" ref="H16:H17" si="2">+G16-E16</f>
        <v>39543.813052333338</v>
      </c>
      <c r="J16" s="27">
        <f t="shared" ref="J16:J41" si="3">+J15+1</f>
        <v>3</v>
      </c>
      <c r="K16" s="10"/>
      <c r="L16" s="271"/>
      <c r="M16" s="492"/>
      <c r="N16" s="492"/>
      <c r="O16" s="492"/>
      <c r="P16" s="492"/>
      <c r="Q16" s="492"/>
    </row>
    <row r="17" spans="1:17" x14ac:dyDescent="0.2">
      <c r="A17" s="27">
        <v>4</v>
      </c>
      <c r="B17" s="142" t="s">
        <v>281</v>
      </c>
      <c r="D17" s="248">
        <f>'[35]Lead G'!D13</f>
        <v>-10924.564479418335</v>
      </c>
      <c r="E17" s="248">
        <f>'[35]Lead G'!E13</f>
        <v>-10924.564479418335</v>
      </c>
      <c r="F17" s="248">
        <f t="shared" si="1"/>
        <v>0</v>
      </c>
      <c r="G17" s="248">
        <f>'[35]Lead G'!G13</f>
        <v>0</v>
      </c>
      <c r="H17" s="248">
        <f t="shared" si="2"/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 x14ac:dyDescent="0.2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3"/>
        <v>5</v>
      </c>
      <c r="K18" s="154" t="s">
        <v>277</v>
      </c>
      <c r="L18" s="271"/>
      <c r="M18" s="251">
        <f>'[36]Lead G'!$F$13</f>
        <v>2616179.6237217812</v>
      </c>
      <c r="N18" s="251">
        <f>+M18</f>
        <v>2616179.6237217812</v>
      </c>
      <c r="O18" s="251">
        <f>+N18-M18</f>
        <v>0</v>
      </c>
      <c r="P18" s="251">
        <f>'[36]Lead G'!$I$13</f>
        <v>2616179.6237217835</v>
      </c>
      <c r="Q18" s="251">
        <f t="shared" ref="Q18" si="4">+P18-N18</f>
        <v>0</v>
      </c>
    </row>
    <row r="19" spans="1:17" ht="13.5" thickBot="1" x14ac:dyDescent="0.25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93"/>
      <c r="N19" s="493"/>
      <c r="O19" s="493"/>
      <c r="P19" s="493"/>
      <c r="Q19" s="493"/>
    </row>
    <row r="20" spans="1:17" ht="13.5" thickTop="1" x14ac:dyDescent="0.2">
      <c r="A20" s="27">
        <f t="shared" si="0"/>
        <v>7</v>
      </c>
      <c r="J20" s="27">
        <f t="shared" si="3"/>
        <v>7</v>
      </c>
      <c r="K20" s="141" t="s">
        <v>278</v>
      </c>
      <c r="L20" s="271"/>
      <c r="M20" s="144">
        <f>SUM(M18:M19)</f>
        <v>2616179.6237217812</v>
      </c>
      <c r="N20" s="144">
        <f t="shared" ref="N20:Q20" si="5">SUM(N18:N19)</f>
        <v>2616179.6237217812</v>
      </c>
      <c r="O20" s="144">
        <f t="shared" si="5"/>
        <v>0</v>
      </c>
      <c r="P20" s="144">
        <f t="shared" si="5"/>
        <v>2616179.6237217835</v>
      </c>
      <c r="Q20" s="144">
        <f t="shared" si="5"/>
        <v>0</v>
      </c>
    </row>
    <row r="21" spans="1:17" x14ac:dyDescent="0.2">
      <c r="A21" s="27">
        <f t="shared" si="0"/>
        <v>8</v>
      </c>
      <c r="B21" s="267" t="s">
        <v>427</v>
      </c>
      <c r="C21" s="271"/>
      <c r="D21" s="274"/>
      <c r="E21" s="274"/>
      <c r="F21" s="274"/>
      <c r="G21" s="274"/>
      <c r="H21" s="274"/>
      <c r="J21" s="27">
        <f t="shared" si="3"/>
        <v>8</v>
      </c>
      <c r="K21" s="141"/>
      <c r="L21" s="271"/>
      <c r="M21" s="144"/>
      <c r="N21" s="144"/>
      <c r="O21" s="144"/>
      <c r="P21" s="144"/>
      <c r="Q21" s="144"/>
    </row>
    <row r="22" spans="1:17" x14ac:dyDescent="0.2">
      <c r="A22" s="27">
        <f t="shared" si="0"/>
        <v>9</v>
      </c>
      <c r="B22" s="99" t="s">
        <v>399</v>
      </c>
      <c r="C22" s="271"/>
      <c r="D22" s="248">
        <f>'[35]Lead G'!$D$18</f>
        <v>39543.813052333338</v>
      </c>
      <c r="E22" s="248">
        <f t="shared" ref="E22:E26" si="6">D22</f>
        <v>39543.813052333338</v>
      </c>
      <c r="F22" s="248">
        <f t="shared" ref="F22" si="7">E22-D22</f>
        <v>0</v>
      </c>
      <c r="G22" s="248">
        <f>'[35]Lead G'!$G$18</f>
        <v>0</v>
      </c>
      <c r="H22" s="248">
        <f>G22-E22</f>
        <v>-39543.813052333338</v>
      </c>
      <c r="J22" s="27">
        <f t="shared" si="3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 t="shared" ref="O22:O23" si="8">+N22-M22</f>
        <v>0</v>
      </c>
      <c r="P22" s="251">
        <f>+$P$15*L22</f>
        <v>0</v>
      </c>
      <c r="Q22" s="251">
        <f t="shared" ref="Q22:Q23" si="9">+P22-N22</f>
        <v>-35768.190475448326</v>
      </c>
    </row>
    <row r="23" spans="1:17" x14ac:dyDescent="0.2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3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 t="shared" si="8"/>
        <v>0</v>
      </c>
      <c r="P23" s="251">
        <f>+$P$15*L23</f>
        <v>0</v>
      </c>
      <c r="Q23" s="251">
        <f t="shared" si="9"/>
        <v>-13961.042340143764</v>
      </c>
    </row>
    <row r="24" spans="1:17" x14ac:dyDescent="0.2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 t="shared" ref="F24" si="10">E24-D24</f>
        <v>0</v>
      </c>
      <c r="G24" s="248">
        <f>'[35]Lead G'!$G$20</f>
        <v>0</v>
      </c>
      <c r="H24" s="248">
        <f>+G24-E24</f>
        <v>8304.2007409900016</v>
      </c>
      <c r="J24" s="27">
        <f t="shared" si="3"/>
        <v>11</v>
      </c>
      <c r="K24" s="252" t="s">
        <v>94</v>
      </c>
      <c r="L24" s="255"/>
      <c r="M24" s="254">
        <f>SUM(M22:M23)</f>
        <v>49729.232815592091</v>
      </c>
      <c r="N24" s="254">
        <f t="shared" ref="N24:Q24" si="11">SUM(N22:N23)</f>
        <v>49729.232815592091</v>
      </c>
      <c r="O24" s="254">
        <f t="shared" si="11"/>
        <v>0</v>
      </c>
      <c r="P24" s="254">
        <f t="shared" si="11"/>
        <v>0</v>
      </c>
      <c r="Q24" s="254">
        <f t="shared" si="11"/>
        <v>-49729.232815592091</v>
      </c>
    </row>
    <row r="25" spans="1:17" x14ac:dyDescent="0.2">
      <c r="A25" s="27">
        <f t="shared" si="0"/>
        <v>12</v>
      </c>
      <c r="B25" s="10"/>
      <c r="C25" s="271"/>
      <c r="D25" s="496"/>
      <c r="E25" s="496"/>
      <c r="F25" s="496"/>
      <c r="G25" s="496"/>
      <c r="H25" s="496"/>
      <c r="J25" s="27">
        <f t="shared" si="3"/>
        <v>12</v>
      </c>
      <c r="K25" s="10"/>
      <c r="L25" s="154"/>
      <c r="M25" s="154"/>
      <c r="N25" s="154"/>
      <c r="O25" s="154"/>
      <c r="P25" s="154"/>
      <c r="Q25" s="154"/>
    </row>
    <row r="26" spans="1:17" ht="13.5" thickBot="1" x14ac:dyDescent="0.25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 t="shared" si="6"/>
        <v>-31239.612311343335</v>
      </c>
      <c r="F26" s="273">
        <f t="shared" ref="F26" si="12">E26-D26</f>
        <v>0</v>
      </c>
      <c r="G26" s="273">
        <v>0</v>
      </c>
      <c r="H26" s="273">
        <f t="shared" ref="H26" si="13">G26-E26</f>
        <v>31239.612311343335</v>
      </c>
      <c r="J26" s="27">
        <f t="shared" si="3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3.5" thickTop="1" x14ac:dyDescent="0.2">
      <c r="J27" s="27">
        <f t="shared" si="3"/>
        <v>14</v>
      </c>
      <c r="K27" s="252"/>
      <c r="L27" s="154"/>
      <c r="M27" s="494"/>
      <c r="N27" s="494"/>
      <c r="O27" s="494"/>
      <c r="P27" s="494"/>
      <c r="Q27" s="494"/>
    </row>
    <row r="28" spans="1:17" x14ac:dyDescent="0.2">
      <c r="J28" s="27">
        <f t="shared" si="3"/>
        <v>15</v>
      </c>
      <c r="K28" s="252" t="s">
        <v>96</v>
      </c>
      <c r="L28" s="271"/>
      <c r="M28" s="244">
        <f>SUM(M24:M27)</f>
        <v>317243.74561625684</v>
      </c>
      <c r="N28" s="244">
        <f t="shared" ref="N28:Q28" si="14">SUM(N24:N27)</f>
        <v>317243.74561625684</v>
      </c>
      <c r="O28" s="244">
        <f t="shared" si="14"/>
        <v>0</v>
      </c>
      <c r="P28" s="244">
        <f t="shared" si="14"/>
        <v>0</v>
      </c>
      <c r="Q28" s="244">
        <f t="shared" si="14"/>
        <v>-317243.74561625684</v>
      </c>
    </row>
    <row r="29" spans="1:17" x14ac:dyDescent="0.2">
      <c r="J29" s="27">
        <f t="shared" si="3"/>
        <v>16</v>
      </c>
      <c r="K29" s="10"/>
      <c r="L29" s="271"/>
      <c r="M29" s="254"/>
      <c r="N29" s="254"/>
      <c r="O29" s="254"/>
      <c r="P29" s="254"/>
      <c r="Q29" s="254"/>
    </row>
    <row r="30" spans="1:17" x14ac:dyDescent="0.2">
      <c r="J30" s="27">
        <f t="shared" si="3"/>
        <v>17</v>
      </c>
      <c r="K30" s="10" t="s">
        <v>79</v>
      </c>
      <c r="L30" s="271"/>
      <c r="M30" s="495">
        <f>+M15-M20-M28</f>
        <v>4047097.8007338443</v>
      </c>
      <c r="N30" s="495">
        <f>+M30</f>
        <v>4047097.8007338443</v>
      </c>
      <c r="O30" s="495">
        <f t="shared" ref="O30:Q30" si="15">+O15-O20-O28</f>
        <v>0</v>
      </c>
      <c r="P30" s="495">
        <f t="shared" si="15"/>
        <v>-2616179.6237217835</v>
      </c>
      <c r="Q30" s="495">
        <f t="shared" si="15"/>
        <v>-6663277.424455625</v>
      </c>
    </row>
    <row r="31" spans="1:17" x14ac:dyDescent="0.2">
      <c r="J31" s="27">
        <f t="shared" si="3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 x14ac:dyDescent="0.2">
      <c r="J32" s="27">
        <f t="shared" si="3"/>
        <v>19</v>
      </c>
      <c r="K32" s="10"/>
      <c r="L32" s="271"/>
      <c r="M32" s="254"/>
      <c r="N32" s="254"/>
      <c r="O32" s="254"/>
      <c r="P32" s="254"/>
      <c r="Q32" s="254"/>
    </row>
    <row r="33" spans="10:17" ht="13.5" thickBot="1" x14ac:dyDescent="0.25">
      <c r="J33" s="27">
        <f t="shared" si="3"/>
        <v>20</v>
      </c>
      <c r="K33" s="10" t="s">
        <v>80</v>
      </c>
      <c r="L33" s="271"/>
      <c r="M33" s="13">
        <f>M30-M31</f>
        <v>3197207.2625797372</v>
      </c>
      <c r="N33" s="13">
        <f t="shared" ref="N33:Q33" si="16">N30-N31</f>
        <v>3197207.2625797372</v>
      </c>
      <c r="O33" s="13">
        <f t="shared" si="16"/>
        <v>0</v>
      </c>
      <c r="P33" s="13">
        <f t="shared" si="16"/>
        <v>-2066781.9027402089</v>
      </c>
      <c r="Q33" s="13">
        <f t="shared" si="16"/>
        <v>-5263989.1653199438</v>
      </c>
    </row>
    <row r="34" spans="10:17" ht="13.5" thickTop="1" x14ac:dyDescent="0.2">
      <c r="J34" s="27">
        <f t="shared" si="3"/>
        <v>21</v>
      </c>
      <c r="K34" s="154"/>
      <c r="L34" s="271"/>
      <c r="M34" s="255"/>
      <c r="N34" s="255"/>
      <c r="O34" s="255"/>
      <c r="P34" s="255"/>
      <c r="Q34" s="255"/>
    </row>
    <row r="35" spans="10:17" x14ac:dyDescent="0.2">
      <c r="J35" s="27">
        <f t="shared" si="3"/>
        <v>22</v>
      </c>
      <c r="K35" s="154"/>
      <c r="L35" s="271"/>
      <c r="M35" s="255"/>
      <c r="N35" s="255"/>
      <c r="O35" s="255"/>
      <c r="P35" s="255"/>
      <c r="Q35" s="255"/>
    </row>
    <row r="36" spans="10:17" x14ac:dyDescent="0.2">
      <c r="J36" s="27">
        <f t="shared" si="3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 x14ac:dyDescent="0.2">
      <c r="J37" s="27">
        <f t="shared" si="3"/>
        <v>24</v>
      </c>
      <c r="K37" s="99" t="s">
        <v>280</v>
      </c>
      <c r="L37" s="271"/>
      <c r="M37" s="242">
        <f>'[36]Lead G'!F32</f>
        <v>105802468.1600001</v>
      </c>
      <c r="N37" s="242">
        <f>'[36]Lead G'!G32</f>
        <v>105802468.1600001</v>
      </c>
      <c r="O37" s="242">
        <f>'[36]Lead G'!H32</f>
        <v>0</v>
      </c>
      <c r="P37" s="242">
        <f>'[36]Lead G'!I32</f>
        <v>105802468.1600001</v>
      </c>
      <c r="Q37" s="242">
        <f t="shared" ref="Q37:Q39" si="17">+P37-N37</f>
        <v>0</v>
      </c>
    </row>
    <row r="38" spans="10:17" x14ac:dyDescent="0.2">
      <c r="J38" s="27">
        <f t="shared" si="3"/>
        <v>25</v>
      </c>
      <c r="K38" s="10" t="s">
        <v>377</v>
      </c>
      <c r="L38" s="271"/>
      <c r="M38" s="251">
        <f>'[36]Lead G'!F33</f>
        <v>-4408805.5073599108</v>
      </c>
      <c r="N38" s="251">
        <f>'[36]Lead G'!G33</f>
        <v>-4408805.5073599108</v>
      </c>
      <c r="O38" s="251">
        <f>'[36]Lead G'!H33</f>
        <v>0</v>
      </c>
      <c r="P38" s="251">
        <f>'[36]Lead G'!I33</f>
        <v>-10067230.849618189</v>
      </c>
      <c r="Q38" s="251">
        <f t="shared" si="17"/>
        <v>-5658425.3422582783</v>
      </c>
    </row>
    <row r="39" spans="10:17" x14ac:dyDescent="0.2">
      <c r="J39" s="27">
        <f t="shared" si="3"/>
        <v>26</v>
      </c>
      <c r="K39" s="142" t="s">
        <v>281</v>
      </c>
      <c r="L39" s="271"/>
      <c r="M39" s="251">
        <f>'[36]Lead G'!F34</f>
        <v>-8207637.6737488601</v>
      </c>
      <c r="N39" s="251">
        <f>'[36]Lead G'!G34</f>
        <v>-8207637.6737488601</v>
      </c>
      <c r="O39" s="251">
        <f>'[36]Lead G'!H34</f>
        <v>0</v>
      </c>
      <c r="P39" s="251">
        <f>'[36]Lead G'!I34</f>
        <v>-8937256.0344074257</v>
      </c>
      <c r="Q39" s="251">
        <f t="shared" si="17"/>
        <v>-729618.36065856554</v>
      </c>
    </row>
    <row r="40" spans="10:17" x14ac:dyDescent="0.2">
      <c r="J40" s="27">
        <f t="shared" si="3"/>
        <v>27</v>
      </c>
      <c r="K40" s="99"/>
      <c r="L40" s="271"/>
      <c r="M40" s="496"/>
      <c r="N40" s="496"/>
      <c r="O40" s="496"/>
      <c r="P40" s="496"/>
      <c r="Q40" s="496"/>
    </row>
    <row r="41" spans="10:17" ht="13.5" thickBot="1" x14ac:dyDescent="0.25">
      <c r="J41" s="27">
        <f t="shared" si="3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3.5" thickTop="1" x14ac:dyDescent="0.2">
      <c r="L42" s="271"/>
      <c r="M42" s="271"/>
    </row>
    <row r="43" spans="10:17" x14ac:dyDescent="0.2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scale="35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23" sqref="C23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72</v>
      </c>
      <c r="C3" s="6">
        <v>0.21</v>
      </c>
    </row>
    <row r="4" spans="2:3" x14ac:dyDescent="0.25">
      <c r="B4" t="s">
        <v>73</v>
      </c>
      <c r="C4" t="s">
        <v>160</v>
      </c>
    </row>
    <row r="5" spans="2:3" x14ac:dyDescent="0.25">
      <c r="B5" t="s">
        <v>74</v>
      </c>
      <c r="C5" t="s">
        <v>195</v>
      </c>
    </row>
    <row r="6" spans="2:3" x14ac:dyDescent="0.25">
      <c r="B6" t="s">
        <v>75</v>
      </c>
      <c r="C6" t="s">
        <v>309</v>
      </c>
    </row>
    <row r="7" spans="2:3" x14ac:dyDescent="0.25">
      <c r="B7" t="s">
        <v>77</v>
      </c>
      <c r="C7" t="s">
        <v>76</v>
      </c>
    </row>
    <row r="8" spans="2:3" x14ac:dyDescent="0.25">
      <c r="B8" t="s">
        <v>89</v>
      </c>
      <c r="C8" t="s">
        <v>432</v>
      </c>
    </row>
    <row r="9" spans="2:3" x14ac:dyDescent="0.25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F489B8-13C9-49C5-9953-A368A04E48B4}"/>
</file>

<file path=customXml/itemProps2.xml><?xml version="1.0" encoding="utf-8"?>
<ds:datastoreItem xmlns:ds="http://schemas.openxmlformats.org/officeDocument/2006/customXml" ds:itemID="{003CF0E2-0E9A-493E-A2B6-E7FBE7E2A0B5}"/>
</file>

<file path=customXml/itemProps3.xml><?xml version="1.0" encoding="utf-8"?>
<ds:datastoreItem xmlns:ds="http://schemas.openxmlformats.org/officeDocument/2006/customXml" ds:itemID="{55BCD556-AF71-48B4-A19B-824038A1EC7E}"/>
</file>

<file path=customXml/itemProps4.xml><?xml version="1.0" encoding="utf-8"?>
<ds:datastoreItem xmlns:ds="http://schemas.openxmlformats.org/officeDocument/2006/customXml" ds:itemID="{2F0FBBE6-B8B9-4D93-9C87-CD787AE10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51</vt:i4>
      </vt:variant>
    </vt:vector>
  </HeadingPairs>
  <TitlesOfParts>
    <vt:vector size="58" baseType="lpstr">
      <vt:lpstr>COC, Def, ConvF</vt:lpstr>
      <vt:lpstr>COC-Restating</vt:lpstr>
      <vt:lpstr>Summary</vt:lpstr>
      <vt:lpstr>Detailed Summary</vt:lpstr>
      <vt:lpstr>Common Adj</vt:lpstr>
      <vt:lpstr>Gas Adj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'Detailed Summary'!Print_Area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cp:lastPrinted>2019-06-21T17:13:52Z</cp:lastPrinted>
  <dcterms:created xsi:type="dcterms:W3CDTF">2015-07-22T17:29:58Z</dcterms:created>
  <dcterms:modified xsi:type="dcterms:W3CDTF">2019-07-31T15:34:46Z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