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9320" windowHeight="13620" activeTab="1"/>
  </bookViews>
  <sheets>
    <sheet name="JHS-5" sheetId="1" r:id="rId1"/>
    <sheet name="JHS-5.01(A)" sheetId="2" r:id="rId2"/>
  </sheets>
  <externalReferences>
    <externalReference r:id="rId5"/>
  </externalReferences>
  <definedNames>
    <definedName name="__123Graph_ECURRENT" hidden="1">#N/A</definedName>
    <definedName name="_5.01_Power_Costs">'JHS-5'!$A$2:$E$40</definedName>
    <definedName name="_5.02_LSR_project">'JHS-5'!$F$2:$J$38</definedName>
    <definedName name="_5.03_LSR_transmission_deposits">'JHS-5'!$K$2:$O$33</definedName>
    <definedName name="_5.04_Montana">'JHS-5'!$P$2:$T$21</definedName>
    <definedName name="_5.05_Wild_Horse">'JHS-5'!$U$2:$Y$26</definedName>
    <definedName name="_5.06_ASC_815">'JHS-5'!$Z$2:$AD$21</definedName>
    <definedName name="_5.07_storm">'JHS-5'!$AE$2:$AJ$60</definedName>
    <definedName name="_5.08_remove_tenaska_costs">'JHS-5'!$AK$2:$AO$43</definedName>
    <definedName name="_5.09_conrtact_payments_chelan">'JHS-5'!$AP$2:$AT$32</definedName>
    <definedName name="_5.10_Reg_Asset">'JHS-5'!$AU$2:$AY$63</definedName>
    <definedName name="_5.11_Production_Adj">'JHS-5'!$AZ$2:$BD$105</definedName>
    <definedName name="_Fill" hidden="1">#REF!</definedName>
    <definedName name="_Order1" hidden="1">255</definedName>
    <definedName name="_Order2" hidden="1">255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LL_ADJUSTMENT">'JHS-5'!$A$2:$EC$107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'JHS-5'!$AZ$5:$BD$105</definedName>
    <definedName name="_xlnm.Print_Area" localSheetId="1">'JHS-5.01(A)'!$A$3:$N$38</definedName>
    <definedName name="_xlnm.Print_Titles" localSheetId="0">'JHS-5'!$5:$11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0" hidden="1">{#N/A,#N/A,FALSE,"CRPT";#N/A,#N/A,FALSE,"TREND";#N/A,#N/A,FALSE,"%Curve"}</definedName>
    <definedName name="six6" localSheetId="1" hidden="1">{#N/A,#N/A,FALSE,"CRPT";#N/A,#N/A,FALSE,"TREND";#N/A,#N/A,FALSE,"%Curve"}</definedName>
    <definedName name="six6" hidden="1">{#N/A,#N/A,FALSE,"CRPT";#N/A,#N/A,FALSE,"TREND";#N/A,#N/A,FALSE,"%Curve"}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www1" localSheetId="0" hidden="1">{#N/A,#N/A,FALSE,"schA"}</definedName>
    <definedName name="www1" localSheetId="1" hidden="1">{#N/A,#N/A,FALSE,"schA"}</definedName>
    <definedName name="www1" hidden="1">{#N/A,#N/A,FALSE,"schA"}</definedName>
    <definedName name="x" localSheetId="0" hidden="1">{#N/A,#N/A,FALSE,"Coversheet";#N/A,#N/A,FALSE,"QA"}</definedName>
    <definedName name="x" localSheetId="1" hidden="1">{#N/A,#N/A,FALSE,"Coversheet";#N/A,#N/A,FALSE,"QA"}</definedName>
    <definedName name="x" hidden="1">{#N/A,#N/A,FALSE,"Coversheet";#N/A,#N/A,FALSE,"QA"}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0" hidden="1">{#N/A,#N/A,FALSE,"Coversheet";#N/A,#N/A,FALSE,"QA"}</definedName>
    <definedName name="z" localSheetId="1" hidden="1">{#N/A,#N/A,FALSE,"Coversheet";#N/A,#N/A,FALSE,"QA"}</definedName>
    <definedName name="z" hidden="1">{#N/A,#N/A,FALSE,"Coversheet";#N/A,#N/A,FALSE,"QA"}</definedName>
    <definedName name="Z_03B5CB54_D950_4809_9BFA_B5E91687BDB2_.wvu.Rows" localSheetId="1" hidden="1">'JHS-5.01(A)'!#REF!</definedName>
    <definedName name="Z_109A6FD5_7A38_487C_9B51_9E942A2A6DF7_.wvu.Rows" localSheetId="1" hidden="1">'JHS-5.01(A)'!#REF!</definedName>
    <definedName name="Z_2396DC2C_402A_4916_91F9_9FDB5C342408_.wvu.Rows" localSheetId="1" hidden="1">'JHS-5.01(A)'!#REF!</definedName>
    <definedName name="Z_30171EF4_8F5E_4A73_A7BD_AC361852ECC0_.wvu.Rows" localSheetId="1" hidden="1">'JHS-5.01(A)'!#REF!</definedName>
    <definedName name="Z_323B199E_96B9_4DC6_8637_E126F9BA7C08_.wvu.Rows" localSheetId="1" hidden="1">'JHS-5.01(A)'!#REF!</definedName>
    <definedName name="Z_481D4E2E_20D4_45AB_AA2C_B34407716074_.wvu.Rows" localSheetId="1" hidden="1">'JHS-5.01(A)'!#REF!</definedName>
    <definedName name="Z_663C3115_7A87_49DA_9260_EF1A41B87728_.wvu.Rows" localSheetId="1" hidden="1">'JHS-5.01(A)'!#REF!</definedName>
    <definedName name="Z_6BE2AA00_D0CA_4793_8091_7BAABD0B030C_.wvu.Rows" localSheetId="1" hidden="1">'JHS-5.01(A)'!#REF!</definedName>
    <definedName name="Z_6C054A84_7F92_45EC_B53F_EAC86C7019C4_.wvu.Rows" localSheetId="1" hidden="1">'JHS-5.01(A)'!#REF!</definedName>
    <definedName name="Z_6CCD15FF_0E65_46C3_9881_A9AD5C3EA28A_.wvu.Rows" localSheetId="1" hidden="1">'JHS-5.01(A)'!#REF!</definedName>
    <definedName name="Z_7765C09D_9D61_4D8B_A0C4_7C6D784C2592_.wvu.Rows" localSheetId="1" hidden="1">'JHS-5.01(A)'!#REF!</definedName>
    <definedName name="Z_7B9E46E5_DE40_4DE3_A131_6EB2A495D794_.wvu.Rows" localSheetId="1" hidden="1">'JHS-5.01(A)'!#REF!</definedName>
    <definedName name="Z_84213CFC_D8F9_4E4C_B010_08EF5E3F8AD7_.wvu.Rows" localSheetId="1" hidden="1">'JHS-5.01(A)'!#REF!</definedName>
    <definedName name="Z_A5386FC6_060C_4FF8_9754_8F41ED24E370_.wvu.Rows" localSheetId="1" hidden="1">'JHS-5.01(A)'!#REF!</definedName>
    <definedName name="Z_A68D84AC_3459_4B1A_A82C_09666110CF77_.wvu.Rows" localSheetId="1" hidden="1">'JHS-5.01(A)'!#REF!</definedName>
    <definedName name="Z_B1F8DC23_D716_49D3_B2ED_6AD79DCC127D_.wvu.Rows" localSheetId="1" hidden="1">'JHS-5.01(A)'!#REF!</definedName>
    <definedName name="Z_B645129D_C5C8_4408_A211_8D284ED241D4_.wvu.Rows" localSheetId="1" hidden="1">'JHS-5.01(A)'!#REF!</definedName>
    <definedName name="Z_BFF4269F_5159_4FE7_8C1B_7EF258D66D6C_.wvu.Rows" localSheetId="1" hidden="1">'JHS-5.01(A)'!#REF!</definedName>
    <definedName name="Z_C4883C13_F396_4F7E_A779_FD99A50836F3_.wvu.Rows" localSheetId="1" hidden="1">'JHS-5.01(A)'!#REF!</definedName>
    <definedName name="Z_D15D6F26_DA6E_456D_B7F5_850E9F3039F7_.wvu.Rows" localSheetId="1" hidden="1">'JHS-5.01(A)'!#REF!</definedName>
    <definedName name="Z_DA82D128_5452_45C5_914D_4ECF8FABD1C5_.wvu.Rows" localSheetId="1" hidden="1">'JHS-5.01(A)'!#REF!</definedName>
    <definedName name="Z_E289851B_405E_4A98_8191_445F20CA287E_.wvu.Rows" localSheetId="1" hidden="1">'JHS-5.01(A)'!#REF!</definedName>
    <definedName name="Z_EE559E07_5B41_4877_A4D7_2B8A63F8CFFE_.wvu.Rows" localSheetId="1" hidden="1">'JHS-5.01(A)'!#REF!</definedName>
  </definedNames>
  <calcPr fullCalcOnLoad="1"/>
</workbook>
</file>

<file path=xl/sharedStrings.xml><?xml version="1.0" encoding="utf-8"?>
<sst xmlns="http://schemas.openxmlformats.org/spreadsheetml/2006/main" count="483" uniqueCount="319">
  <si>
    <t>TOTAL ADJUSTMENT TO RATEBASE (LINE 73 + LINE 89)</t>
  </si>
  <si>
    <t>TOTAL REGULATORY ASSETS AND LIABILITIES RATE BASE</t>
  </si>
  <si>
    <t>MAJOR MAINTENANCE (SUMMARIZED)</t>
  </si>
  <si>
    <t>CHELAN SECURITY DEPOSIT</t>
  </si>
  <si>
    <t>CHELAN RESERVATION PAYMENT</t>
  </si>
  <si>
    <t>CARRYING CHARGES ON LSR PREPAID TRANSM DEPOSITS</t>
  </si>
  <si>
    <t>LOWER SNAKE RIVER PREPAID TRANSMISSION DEPOSITS</t>
  </si>
  <si>
    <t>FERC PART 12 NON-CONSTRUCTION STUDY COSTS UE-070074</t>
  </si>
  <si>
    <t>COLSTRIP 1&amp;2 (WECO) COAL CONTRACT PREPAYMENT</t>
  </si>
  <si>
    <t>MINT FARM DEFERRAL UE-090704</t>
  </si>
  <si>
    <t>WESTCOAST PIPELINE CAPACITY - UE-100503 (BNP PARIBUS)</t>
  </si>
  <si>
    <t>WESTCOAST PIPELINE CAPACITY - UE-082013 (FB ENERGY)</t>
  </si>
  <si>
    <t>DFIT WHITE RIVER REG ASSETS</t>
  </si>
  <si>
    <t>PROCEEDS FROM THE SALE OF WHITE RIVER ASSETS TO CWA</t>
  </si>
  <si>
    <t>WHITE RIVER RELICENSING &amp; CWIP</t>
  </si>
  <si>
    <t>WHITE RIVER PLANT COSTS</t>
  </si>
  <si>
    <t>BEP</t>
  </si>
  <si>
    <t>REGULATORY ASSETS RATE BASE:</t>
  </si>
  <si>
    <t>TOTAL PRODUCTION PROPERTY RATE BASE</t>
  </si>
  <si>
    <t>SUBTOTAL</t>
  </si>
  <si>
    <t>NOL DEFERRED TAX ASSET ATTRIBUTABLE TO PRODUCTION</t>
  </si>
  <si>
    <t>LIBR. DEPREC. POST 1980 (AMA)</t>
  </si>
  <si>
    <t>NET PRODUCTION PROPERTY</t>
  </si>
  <si>
    <t>ACCUMULATED AMORTIZATION ON ACQUISTION ADJ</t>
  </si>
  <si>
    <t xml:space="preserve"> </t>
  </si>
  <si>
    <t>ACQUISITION ADJUSTMENTS</t>
  </si>
  <si>
    <t>COLSTRIP DEFERRED DEPRECIATION FERC ADJ.</t>
  </si>
  <si>
    <t>COLSTRIP COMMON FERC ADJUSTMENT</t>
  </si>
  <si>
    <t>PRODUCTION PROPERTY ACCUM AMORT.</t>
  </si>
  <si>
    <t>NON-DEPRECIABLE PRODUCTION PROPERTY</t>
  </si>
  <si>
    <t>PRODUCTION PROPERTY ACCUM DEPR. (INCL LSR AND WH SOLAR)</t>
  </si>
  <si>
    <t>DEPRECIABLE PRODUCTION PROPERTY (INCL LSR AND WH SOLAR)</t>
  </si>
  <si>
    <t>PRODUCTION PROPERTY RATE BASE:</t>
  </si>
  <si>
    <t>INCREASE(DECREASE) NOI</t>
  </si>
  <si>
    <t xml:space="preserve">INCREASE(DECREASE) FIT </t>
  </si>
  <si>
    <t>INCREASE(DECREASE) EXPENSE</t>
  </si>
  <si>
    <t>TOTAL AMORTIZATION OF REGULATORY ASSETS AND LIABILITIES</t>
  </si>
  <si>
    <t>INCREASE (DECREASE) NOI</t>
  </si>
  <si>
    <t>CHELAN RESERVATION PREPAYMENT (555)</t>
  </si>
  <si>
    <t>INCREASE (DECREASE) FIT</t>
  </si>
  <si>
    <t>LOWER SNAKE RIVER PREPAID TRANS DEPOSITS (407.3)</t>
  </si>
  <si>
    <t>MAJOR MAINTENANCE (SUMMARIZED) (PROD O&amp;M)</t>
  </si>
  <si>
    <t>INCREASE (DECREASE) EXPENSE</t>
  </si>
  <si>
    <t>FERC PART 12 NON-CONSTRUCTION STUDY COSTS UE-070074 (407.3)</t>
  </si>
  <si>
    <t>INCREASE (DECREASE) FIT @ 35% (LINE 44 X 35%)</t>
  </si>
  <si>
    <t>COLSTRIP 1&amp;2 (WECO) COAL CONTRACT PREPAYMENT (501)</t>
  </si>
  <si>
    <t>WILD HORSE EXPANSION DEFERRAL (407.3)</t>
  </si>
  <si>
    <t>TOTAL INCREASE (DECREASE) OPERATING EXPENSE (LINE 16 + LINE 42)</t>
  </si>
  <si>
    <t>MINT FARM DEFERRAL (407.3)</t>
  </si>
  <si>
    <t>WESTCOAST PIPELINE CAPACITY - UE-100503 (BNP PARIBUS) (547)</t>
  </si>
  <si>
    <t xml:space="preserve">    MINT FARM JUNE 2010 COMBUSTION INSPECTION</t>
  </si>
  <si>
    <t>INCREASE (DECREASE) OPERATING EXPENSE (LINE 38- LINE 39)</t>
  </si>
  <si>
    <t>WESTCOAST PIPELINE CAPACITY - UE-082013 (FB ENERGY) (547)</t>
  </si>
  <si>
    <t xml:space="preserve">    SUMAS NOVEMBER 2008 COMBUSTION INSPECTION</t>
  </si>
  <si>
    <t/>
  </si>
  <si>
    <t>HOPKINS RIDGE MITIGATION CREDIT (555)</t>
  </si>
  <si>
    <t xml:space="preserve">    GOLENDALE MAY 2009 COMBUSTION INSPECTION</t>
  </si>
  <si>
    <t>LESS TEST YEAR CATASTROPHIC STORM AMORTIZATION</t>
  </si>
  <si>
    <t>GOLDENDALE FIXED COSTS DEFERRAL (407.3)</t>
  </si>
  <si>
    <t xml:space="preserve">    FREDDY 1 JULY 2009 HOT GAS PATH INSPECTION</t>
  </si>
  <si>
    <t>TOTAL RATE YEAR AMORTIZATION (LINE 29 + LINE 38)</t>
  </si>
  <si>
    <t>HOPKINS RIDGE PREPAID TRANSMISSION (565)</t>
  </si>
  <si>
    <t xml:space="preserve">    SUMAS NOVEMBER 2010 HOT GAS PATH INSPECTION</t>
  </si>
  <si>
    <t>ANNUAL AMORTIZATION (LINE 35 ÷ 78 (5/2012 - 10/2018) x 12)</t>
  </si>
  <si>
    <t>CONTRACT MAJOR MAINTENANCE (PROD O&amp;M):</t>
  </si>
  <si>
    <t>FROM NOVEMBER 2008 THROUGH OCTOBER 2018</t>
  </si>
  <si>
    <t>WHITE RIVER PLANT COSTS (407)</t>
  </si>
  <si>
    <t>FERC PART 12 STUDY NON-CONSTRUCTION COSTS UE-070074 (407.3)</t>
  </si>
  <si>
    <t>ORIGINAL AMORT PERIOD FROM UE-072300 WAS 10 YEARS</t>
  </si>
  <si>
    <t>BEP (555)</t>
  </si>
  <si>
    <t>TOTAL (LINE 34)</t>
  </si>
  <si>
    <t>AMORTIZATION ON REGULATORY ASSETS:</t>
  </si>
  <si>
    <t>WILD HORSE EXPANSION DEFERRAL - UE-090704 (407.3)</t>
  </si>
  <si>
    <t>12/13/06 WIND STORM</t>
  </si>
  <si>
    <t>MINT FARM DEFERAL - UE-090704 (407.3)</t>
  </si>
  <si>
    <t>START OF RATE YEAR (05/1/12):</t>
  </si>
  <si>
    <t>TOTAL OPERATING EXPENSES LOWER SNAKE RIVER</t>
  </si>
  <si>
    <t>DEFERRED BALANCES FOR 10 YEAR AMORTIZATION AT</t>
  </si>
  <si>
    <t>PROPERTY TAX</t>
  </si>
  <si>
    <t>(NOTE 3) AFPC STANDS FOR ALLOWANCE FOR FUNDS ON POWER CONTRACTS</t>
  </si>
  <si>
    <t>PROPERTY INSURANCE</t>
  </si>
  <si>
    <t>PRODUCTION O&amp;M</t>
  </si>
  <si>
    <t>ADJUSTMENT NO. 5.05</t>
  </si>
  <si>
    <t>ANNUAL AMORTIZATION (LINE 27 ÷ 48 MONTHS) x 12</t>
  </si>
  <si>
    <t>SALES FOR RESALE</t>
  </si>
  <si>
    <t>(NOTE 2) THE IMPACT ON THE TAX BENEFIT OF PROFORMA INTEREST IS HANDLED IN</t>
  </si>
  <si>
    <t>WHEELING</t>
  </si>
  <si>
    <t>DEFERRAL BALANCES BEG OF RY (LINE 22 THROUGH LINE 26)</t>
  </si>
  <si>
    <t>INCREASE (DECREASE) FIT @</t>
  </si>
  <si>
    <t>PURCHASED POWER</t>
  </si>
  <si>
    <t>$16,823,714 NON-TAXABLE PURCHASE PRICE + TAXABLE AFPC $6,374,000.</t>
  </si>
  <si>
    <t>2010 STORM DAMAGE-PENDING APPROVAL</t>
  </si>
  <si>
    <t>INCREASE (DECREASE) INCOME</t>
  </si>
  <si>
    <t>AMORTIZATION OF REGULATORY ASSET/LIABILITY</t>
  </si>
  <si>
    <t>(NOTE 1) TOTAL AMORTIZATION = $37,532,000 = $14,334,286 TAXABLE PURCHASE PRICE +</t>
  </si>
  <si>
    <t>2008 STORM DAMAGE-PENDING APPROVAL</t>
  </si>
  <si>
    <t>INCREASE (DECREASE) FIT ON ALL EXPENSES EXCEPT LINE 11 @</t>
  </si>
  <si>
    <t xml:space="preserve">LOWER SNAKE RIVER </t>
  </si>
  <si>
    <t>2008 STORM DAMAGE</t>
  </si>
  <si>
    <t>2007 STORM DAMAGE</t>
  </si>
  <si>
    <t>INCREASE ( DECREASE ) EXPENSE</t>
  </si>
  <si>
    <t>TOTAL TAXES OTHER</t>
  </si>
  <si>
    <t>TOTAL REGULATORY ASSETS AND LIABILITIES RATEBASE</t>
  </si>
  <si>
    <t>2006 STORM DAMAGE (EXCL 12/13/06 WIND STORM)</t>
  </si>
  <si>
    <t>PAYROLL TAXES</t>
  </si>
  <si>
    <t>TOTAL NET OPERATING INCOME</t>
  </si>
  <si>
    <t>AT START OF RATE YEAR (05/1/12):</t>
  </si>
  <si>
    <t>TOTAL POWER COST AND PROD O&amp;M</t>
  </si>
  <si>
    <t>TOTAL OPERATING EXPENSES</t>
  </si>
  <si>
    <t>ELECTRIC ENERGY TAX</t>
  </si>
  <si>
    <t xml:space="preserve">DEFERRED BALANCES FOR UE-090704 4 YEAR AMORTIZATION </t>
  </si>
  <si>
    <t xml:space="preserve">INCREASE (DECREASE) FIT @ </t>
  </si>
  <si>
    <t>PROPERTY TAXES</t>
  </si>
  <si>
    <t>PROPERTY TAXES - MONTANA</t>
  </si>
  <si>
    <t>CATASTROPHIC STORMS</t>
  </si>
  <si>
    <t xml:space="preserve">TRANS. EXP. INCL. 500KV O&amp;M </t>
  </si>
  <si>
    <t>PROPERTY TAXES - WASHINGTON</t>
  </si>
  <si>
    <t>HYDRO AND OTHER POWER</t>
  </si>
  <si>
    <t>TAXES OTHER-PRODUCTION PROPERTY:</t>
  </si>
  <si>
    <t>INCREASE (DECREASE ) EXPENSE</t>
  </si>
  <si>
    <t>TOTAL PRODUCTION EXPENSES</t>
  </si>
  <si>
    <t>CONTRACT MAJOR MAINTENANCE:</t>
  </si>
  <si>
    <t>AMORTIZATION OF INITIATION PAYMENT (555)</t>
  </si>
  <si>
    <t>INCREASE (DECREASE) OPERATING EXPENSE</t>
  </si>
  <si>
    <t>AMORTIZATION OF CARRYING CHARGES (407.3)</t>
  </si>
  <si>
    <t>TOTAL DEPRECIATION AND AMORTIZATION (FERC 403)</t>
  </si>
  <si>
    <t>FERC PART 12 STUDY NON-CONSTRUCTION COSTS UE-070074</t>
  </si>
  <si>
    <t>OPERATING EXPENSE</t>
  </si>
  <si>
    <t>SUBTOTAL NORMALIZED</t>
  </si>
  <si>
    <t>AMORTIZATION OF PRINCIPAL (565)</t>
  </si>
  <si>
    <t>POWER COST AND O&amp;M RELATED TO LOWER SNAKE RIVER</t>
  </si>
  <si>
    <t>AMORTIZATION (OTHER THAN REGULATORY ASSETS/LIAB)</t>
  </si>
  <si>
    <t>DISALLOWANCES</t>
  </si>
  <si>
    <t xml:space="preserve">  STORM DAMAGE EXPENSE (LINE 8)</t>
  </si>
  <si>
    <t>SUBTOTAL PURCHASED AND INTERCHANGED</t>
  </si>
  <si>
    <t>DEPRECIATION</t>
  </si>
  <si>
    <t>WILD HORSE EXPANSION DEFERRAL - UE-090704</t>
  </si>
  <si>
    <t>INCREASE RATEBASE</t>
  </si>
  <si>
    <t>AMORTIZATION OF AFPC PORTION (NOTE 3)</t>
  </si>
  <si>
    <t>CHARGED TO EXPENSE  12 MONTHS ENDED 12/31/10</t>
  </si>
  <si>
    <t>DEPRECIATION / AMORTIZATION:</t>
  </si>
  <si>
    <t>MINT FARM DEFERRAL - UE-090704</t>
  </si>
  <si>
    <t>TOTAL RATEBASE</t>
  </si>
  <si>
    <t>TOTAL DEPRECIATION EXPENSE</t>
  </si>
  <si>
    <t>HEDGING</t>
  </si>
  <si>
    <t>NET SCURITY DEPOSIT AMA</t>
  </si>
  <si>
    <t>TOTAL AMORTIZATION OF PURCHASE PRICE</t>
  </si>
  <si>
    <t>SIX-YEAR AVERAGE STORM EXPENSE FOR RATE YEAR</t>
  </si>
  <si>
    <t>NON-TAXABLE DEPRECIATION EXPENSE</t>
  </si>
  <si>
    <t>PURCHASED AND INTERCHANGED</t>
  </si>
  <si>
    <t>TOTAL ADMIN &amp; GENERAL EXPENSES</t>
  </si>
  <si>
    <t>ACCUMULATED AMORTIZATION</t>
  </si>
  <si>
    <t>NON-TAXABLE</t>
  </si>
  <si>
    <t>NET LSR CARRYING CHARGES RATEBASE</t>
  </si>
  <si>
    <t>TAXABLE DEPRECIATION EXPENSE</t>
  </si>
  <si>
    <t>HOPKINS RIDGE MITIGATION CREDIT</t>
  </si>
  <si>
    <t>SECURITY DEPOSIT BALANCE</t>
  </si>
  <si>
    <t>TOTAL NORMAL STORMS</t>
  </si>
  <si>
    <t>DEPRECIATION EXPENSE</t>
  </si>
  <si>
    <t xml:space="preserve"> DEFERRED INCOME TAX</t>
  </si>
  <si>
    <t>LOWER SNAKE RIVER OPERATING EXPENSE</t>
  </si>
  <si>
    <t>FUEL</t>
  </si>
  <si>
    <t>PAYROLL OVERHEADS</t>
  </si>
  <si>
    <t>GOLDENDALE FIXED COSTS DEFERRAL</t>
  </si>
  <si>
    <t>SECURITY DEPOSIT AMA</t>
  </si>
  <si>
    <t>AMORTIZATION OF PURCHASE PRICE:</t>
  </si>
  <si>
    <t xml:space="preserve">  TWELVE MONTHS ENDED 12/31/10</t>
  </si>
  <si>
    <t xml:space="preserve"> ACCUM AMORT. CARRYING CHARGES</t>
  </si>
  <si>
    <t>ADMIN &amp; GENERAL EXPENSES</t>
  </si>
  <si>
    <t>HOPKINS RIDGE PREPAID TRANSMISSION</t>
  </si>
  <si>
    <t>AMORTIZATION (NOTE 1) AND DISALLOWANCES</t>
  </si>
  <si>
    <t xml:space="preserve">  TWELVE MONTHS ENDED 12/31/09</t>
  </si>
  <si>
    <t xml:space="preserve">INCREASE (DECREASE) DEFERRED FIT @ </t>
  </si>
  <si>
    <t xml:space="preserve">     CARRYING CHARGES  BALANCE</t>
  </si>
  <si>
    <t>NET LSR EXPANSION PLANT RATEBASE</t>
  </si>
  <si>
    <t>TOTAL OPERATING REVENUES</t>
  </si>
  <si>
    <t>DFIT - WHITE RIVER REG ASSET</t>
  </si>
  <si>
    <t>NET INITIATION PAYMENT RATEBASE AMA</t>
  </si>
  <si>
    <t xml:space="preserve">  TWELVE MONTHS ENDED 12/31/08</t>
  </si>
  <si>
    <t>NET WILD HORSE SOLAR PLANT RATEBASE</t>
  </si>
  <si>
    <t>DEFERRED CARRYING CHARGES (AMA)</t>
  </si>
  <si>
    <t>TOTAL WAGE RELATED ADJUSTMENTS</t>
  </si>
  <si>
    <t>NET RATEBASE</t>
  </si>
  <si>
    <t xml:space="preserve">  TWELVE MONTHS ENDED 12/31/07</t>
  </si>
  <si>
    <t>INCREASE(DECREASE) OPERATING INCOME</t>
  </si>
  <si>
    <t>DEFERRED INCOME TAX LIABILITY</t>
  </si>
  <si>
    <t>CHARGED TO EXPENSE</t>
  </si>
  <si>
    <t>OTHER POWER SUPPLY</t>
  </si>
  <si>
    <t>DEFERRED INCOME TAX</t>
  </si>
  <si>
    <t xml:space="preserve">  TWELVE MONTHS ENDED 12/31/06</t>
  </si>
  <si>
    <t xml:space="preserve">ACCUM DEPRECIATION </t>
  </si>
  <si>
    <t>PROFORMA ENERGY TAX</t>
  </si>
  <si>
    <t>NET LSR PREPAID TRANS. RATEBASE</t>
  </si>
  <si>
    <t>WHEELING FOR OTHERS</t>
  </si>
  <si>
    <t>DEFERRED FIT</t>
  </si>
  <si>
    <t xml:space="preserve">  TWELVE MONTHS ENDED 12/31/05</t>
  </si>
  <si>
    <t>INCREASE (DECREASE) IN EXPENSE</t>
  </si>
  <si>
    <t>PLANT BALANCE</t>
  </si>
  <si>
    <t>ACCUM AMORT. CREDIT PYMT FR. BPA</t>
  </si>
  <si>
    <t>PURCHASES/SALES OF NON-CORE GAS</t>
  </si>
  <si>
    <t>PRODUCTION WAGE ADJUSTMENTS AND INCENTIVE:</t>
  </si>
  <si>
    <t>INITIATION PAYMENT BALANCE</t>
  </si>
  <si>
    <t>REGULATORY ASSET</t>
  </si>
  <si>
    <t>ACTUAL O&amp;M:</t>
  </si>
  <si>
    <t>RATEBASE (AMA) UTILITY PLANT RATEBASE</t>
  </si>
  <si>
    <t>TAX RATE</t>
  </si>
  <si>
    <t>TOTAL PREPAID DEPOSIT</t>
  </si>
  <si>
    <t>UTILITY PLANT RATEBASE</t>
  </si>
  <si>
    <t>O&amp;M ON PRODUCTION PROPERTY</t>
  </si>
  <si>
    <t>AMA OF REGULATORY ASSET/LIABILITY NET OF ACCUM AMORT AND DFIT</t>
  </si>
  <si>
    <t>INITIATION PAYMENT AMA (UE-060539)</t>
  </si>
  <si>
    <t>RATEBASE</t>
  </si>
  <si>
    <t>Total</t>
  </si>
  <si>
    <t>Distribution</t>
  </si>
  <si>
    <t>Transmission</t>
  </si>
  <si>
    <t>NORMAL STORMS</t>
  </si>
  <si>
    <t>ASC 815 OPERATING EXPENSE</t>
  </si>
  <si>
    <t>PROFORMA KWH (COLSTRIP)</t>
  </si>
  <si>
    <t>PRINCIPAL PORTION OF LSR PREPAID TRANSMISSION (AMA)</t>
  </si>
  <si>
    <t>LOWER SNAKE RIVER RATEBASE (AMA)</t>
  </si>
  <si>
    <t>AND RESTATED</t>
  </si>
  <si>
    <t>DESCRIPTION</t>
  </si>
  <si>
    <t>NO.</t>
  </si>
  <si>
    <t>ADJUSTMENT</t>
  </si>
  <si>
    <t>RATE YEAR</t>
  </si>
  <si>
    <t>YEAR</t>
  </si>
  <si>
    <t>TEST YEAR</t>
  </si>
  <si>
    <t>AMOUNT</t>
  </si>
  <si>
    <t>RESTATED</t>
  </si>
  <si>
    <t>ACTUAL</t>
  </si>
  <si>
    <t>PROFORMA</t>
  </si>
  <si>
    <t>(DECREASE)</t>
  </si>
  <si>
    <t>FIT</t>
  </si>
  <si>
    <t>PRODUCTION</t>
  </si>
  <si>
    <t>LINE</t>
  </si>
  <si>
    <t>TEST</t>
  </si>
  <si>
    <t>ADJUSTED</t>
  </si>
  <si>
    <t>INCREASE</t>
  </si>
  <si>
    <t>GENERAL RATE INCREASE</t>
  </si>
  <si>
    <t xml:space="preserve"> GENERAL RATE INCREASE</t>
  </si>
  <si>
    <t>FOR THE TWELVE MONTHS ENDED DECEMBER 31, 2010</t>
  </si>
  <si>
    <t>PRODUCTION ADJUSTMENT</t>
  </si>
  <si>
    <t>REGULATORY ASSETS AND LIABILITIES</t>
  </si>
  <si>
    <t>CONTRACT PAYMENTS TO CHELAN PUD</t>
  </si>
  <si>
    <t>REMOVE COSTS ASSOCIATED WITH TENASKA REGULATORY ASSET</t>
  </si>
  <si>
    <t>STORM DAMAGE</t>
  </si>
  <si>
    <t>ACCOUNTING STANDARDS CODIFICATION 815 (FORMERLY SFAS 133)</t>
  </si>
  <si>
    <t xml:space="preserve">WILD HORSE SOLAR </t>
  </si>
  <si>
    <t>MONTANA ELECTRIC ENERGY TAX</t>
  </si>
  <si>
    <t>LOWER SNAKE RIVER PROJECT</t>
  </si>
  <si>
    <t>POWER COSTS</t>
  </si>
  <si>
    <t>Purchases/Sales Of Non-Core Gas</t>
  </si>
  <si>
    <t xml:space="preserve">Trans. Exp. Incl. 500Kv O&amp;M </t>
  </si>
  <si>
    <t>Variable Transmission Income</t>
  </si>
  <si>
    <t>Col k = amount of adjustment on JHS 5.01 Line 23</t>
  </si>
  <si>
    <t>various</t>
  </si>
  <si>
    <t>Net Power Costs (column c per DEM Exhibit)</t>
  </si>
  <si>
    <t>Sales for Resale</t>
  </si>
  <si>
    <t>Hydro and Other Power</t>
  </si>
  <si>
    <t>Wheeling</t>
  </si>
  <si>
    <t>Hedging</t>
  </si>
  <si>
    <t>Other Power Expense</t>
  </si>
  <si>
    <t>Purchased Power</t>
  </si>
  <si>
    <t>Purchased and Interchanged:</t>
  </si>
  <si>
    <t>Fuel</t>
  </si>
  <si>
    <t>Steam Fuel</t>
  </si>
  <si>
    <t>Fuel:</t>
  </si>
  <si>
    <t>k</t>
  </si>
  <si>
    <t>j</t>
  </si>
  <si>
    <t>i</t>
  </si>
  <si>
    <t>h</t>
  </si>
  <si>
    <t>g</t>
  </si>
  <si>
    <t>f</t>
  </si>
  <si>
    <t>e</t>
  </si>
  <si>
    <t>d</t>
  </si>
  <si>
    <t>c.1</t>
  </si>
  <si>
    <t>c</t>
  </si>
  <si>
    <t>b</t>
  </si>
  <si>
    <t>a</t>
  </si>
  <si>
    <t>Prod Factor</t>
  </si>
  <si>
    <t>Ben&amp;Tax</t>
  </si>
  <si>
    <t>of Reg Assets</t>
  </si>
  <si>
    <t>Initiation Pmt</t>
  </si>
  <si>
    <t>Ppd Transm</t>
  </si>
  <si>
    <t>LSR Plant</t>
  </si>
  <si>
    <t>to Fuel</t>
  </si>
  <si>
    <t>Description</t>
  </si>
  <si>
    <t>FERC</t>
  </si>
  <si>
    <t>Line</t>
  </si>
  <si>
    <t>Factor of</t>
  </si>
  <si>
    <t>Net Before</t>
  </si>
  <si>
    <t>Add</t>
  </si>
  <si>
    <t>Remove</t>
  </si>
  <si>
    <t>Less Amort</t>
  </si>
  <si>
    <t>Less Chelan</t>
  </si>
  <si>
    <t>Less LSR</t>
  </si>
  <si>
    <t>Less</t>
  </si>
  <si>
    <t>Move from O&amp;M</t>
  </si>
  <si>
    <t>12ME</t>
  </si>
  <si>
    <t>After Prod</t>
  </si>
  <si>
    <t>5.10E</t>
  </si>
  <si>
    <t>5.09E</t>
  </si>
  <si>
    <t>5.03E</t>
  </si>
  <si>
    <t>5.02E</t>
  </si>
  <si>
    <t>Jackson Prarie</t>
  </si>
  <si>
    <t>Rate Year</t>
  </si>
  <si>
    <t>Per JHS-5.01</t>
  </si>
  <si>
    <t>Subtotal</t>
  </si>
  <si>
    <t>Add / Remove amounts not in / in Exh DEM-XX</t>
  </si>
  <si>
    <t>Remove amounts shown on other adjustments</t>
  </si>
  <si>
    <t>Reclass</t>
  </si>
  <si>
    <t>Per Exh. DEM-XX</t>
  </si>
  <si>
    <t>RATE YEAR ENDED APRIL 30, 2013</t>
  </si>
  <si>
    <t>TEST YEAR ENDED DECEMBER 31, 2010</t>
  </si>
  <si>
    <t>DETERMINATION OF NET POWER COSTS FOR GRC ADJUSTMENT JHS 5.01</t>
  </si>
  <si>
    <t>GENERAL RATE CASE</t>
  </si>
  <si>
    <t>Page 1 of 2</t>
  </si>
  <si>
    <t>PUGET SOUND ENERGY, INC.-ELECTRIC</t>
  </si>
  <si>
    <t>PUGET SOUND ENERGY, INC.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</si>
</sst>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0_);_(* \(#,##0.000000\);_(* &quot;-&quot;_);_(@_)"/>
    <numFmt numFmtId="166" formatCode="_(* #,##0.0000_);_(* \(#,##0.0000\);_(* &quot;-&quot;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00%"/>
    <numFmt numFmtId="170" formatCode="_(* #,##0_);[Red]_(* \(#,##0\);_(* &quot;-&quot;_);_(@_)"/>
    <numFmt numFmtId="171" formatCode="#,##0;\(#,##0\)"/>
    <numFmt numFmtId="172" formatCode="0.0000000"/>
    <numFmt numFmtId="173" formatCode="#,##0.00000_);[Red]\(#,##0.00000\)"/>
    <numFmt numFmtId="174" formatCode="&quot;PAGE&quot;\ 0.00"/>
    <numFmt numFmtId="175" formatCode="_(* #,##0.00000_);_(* \(#,##0.00000\);_(* &quot;-&quot;??_);_(@_)"/>
    <numFmt numFmtId="176" formatCode="d\.mmm\.yy"/>
    <numFmt numFmtId="177" formatCode="#."/>
    <numFmt numFmtId="178" formatCode="_(* ###0_);_(* \(###0\);_(* &quot;-&quot;_);_(@_)"/>
    <numFmt numFmtId="179" formatCode="_([$€-2]* #,##0.00_);_([$€-2]* \(#,##0.00\);_([$€-2]* &quot;-&quot;??_)"/>
    <numFmt numFmtId="180" formatCode="_(&quot;$&quot;* #,##0.000000_);_(&quot;$&quot;* \(#,##0.000000\);_(&quot;$&quot;* &quot;-&quot;??????_);_(@_)"/>
    <numFmt numFmtId="181" formatCode="&quot;$&quot;#,##0;\-&quot;$&quot;#,##0"/>
    <numFmt numFmtId="182" formatCode="0000000"/>
    <numFmt numFmtId="183" formatCode="0.0000%"/>
    <numFmt numFmtId="184" formatCode="_(&quot;$&quot;* #,##0.0000_);_(&quot;$&quot;* \(#,##0.0000\);_(&quot;$&quot;* &quot;-&quot;????_);_(@_)"/>
    <numFmt numFmtId="185" formatCode="_(* #,##0.0_);_(* \(#,##0.0\);_(* &quot;-&quot;_);_(@_)"/>
    <numFmt numFmtId="186" formatCode="_(&quot;$&quot;* #,##0.000_);_(&quot;$&quot;* \(#,##0.000\);_(&quot;$&quot;* &quot;-&quot;??_);_(@_)"/>
    <numFmt numFmtId="187" formatCode="[$-409]d\-mmm\-yy;@"/>
    <numFmt numFmtId="188" formatCode="&quot;$&quot;#,##0.00"/>
    <numFmt numFmtId="189" formatCode="_(* #,##0.00_);_(* \(#,##0.00\);_(* &quot;-&quot;_);_(@_)"/>
    <numFmt numFmtId="190" formatCode="0.00000"/>
  </numFmts>
  <fonts count="70">
    <font>
      <sz val="11"/>
      <color indexed="8"/>
      <name val="Calibri"/>
      <family val="2"/>
    </font>
    <font>
      <sz val="8"/>
      <name val="Helv"/>
      <family val="0"/>
    </font>
    <font>
      <sz val="11"/>
      <name val="univers (E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Helv"/>
      <family val="0"/>
    </font>
    <font>
      <sz val="8"/>
      <color indexed="14"/>
      <name val="Helv"/>
      <family val="0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3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0" fontId="6" fillId="0" borderId="0">
      <alignment/>
      <protection/>
    </xf>
    <xf numFmtId="164" fontId="6" fillId="0" borderId="0">
      <alignment horizontal="left" wrapText="1"/>
      <protection/>
    </xf>
    <xf numFmtId="172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5" fontId="6" fillId="0" borderId="0">
      <alignment horizontal="left" wrapText="1"/>
      <protection/>
    </xf>
    <xf numFmtId="0" fontId="6" fillId="0" borderId="0">
      <alignment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0" fontId="6" fillId="0" borderId="0">
      <alignment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0" fontId="18" fillId="0" borderId="0">
      <alignment/>
      <protection/>
    </xf>
    <xf numFmtId="0" fontId="18" fillId="0" borderId="0">
      <alignment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0" fontId="18" fillId="0" borderId="0">
      <alignment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0" fontId="18" fillId="0" borderId="0">
      <alignment/>
      <protection/>
    </xf>
    <xf numFmtId="0" fontId="18" fillId="0" borderId="0">
      <alignment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5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2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0" fontId="18" fillId="0" borderId="0">
      <alignment/>
      <protection/>
    </xf>
    <xf numFmtId="0" fontId="18" fillId="0" borderId="0">
      <alignment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0" fontId="6" fillId="0" borderId="0">
      <alignment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175" fontId="6" fillId="0" borderId="0">
      <alignment horizontal="left" wrapText="1"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4" borderId="0" applyNumberFormat="0" applyBorder="0" applyAlignment="0" applyProtection="0"/>
    <xf numFmtId="0" fontId="19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2" borderId="0" applyNumberFormat="0" applyBorder="0" applyAlignment="0" applyProtection="0"/>
    <xf numFmtId="0" fontId="19" fillId="30" borderId="0" applyNumberFormat="0" applyBorder="0" applyAlignment="0" applyProtection="0"/>
    <xf numFmtId="0" fontId="19" fillId="28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76" fontId="21" fillId="0" borderId="0" applyFill="0" applyBorder="0" applyAlignment="0">
      <protection/>
    </xf>
    <xf numFmtId="0" fontId="22" fillId="31" borderId="1" applyNumberFormat="0" applyAlignment="0" applyProtection="0"/>
    <xf numFmtId="0" fontId="22" fillId="31" borderId="1" applyNumberFormat="0" applyAlignment="0" applyProtection="0"/>
    <xf numFmtId="0" fontId="22" fillId="31" borderId="1" applyNumberFormat="0" applyAlignment="0" applyProtection="0"/>
    <xf numFmtId="0" fontId="22" fillId="31" borderId="1" applyNumberFormat="0" applyAlignment="0" applyProtection="0"/>
    <xf numFmtId="0" fontId="23" fillId="32" borderId="2" applyNumberFormat="0" applyAlignment="0" applyProtection="0"/>
    <xf numFmtId="0" fontId="23" fillId="32" borderId="2" applyNumberFormat="0" applyAlignment="0" applyProtection="0"/>
    <xf numFmtId="41" fontId="6" fillId="31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77" fontId="28" fillId="0" borderId="0">
      <alignment/>
      <protection locked="0"/>
    </xf>
    <xf numFmtId="0" fontId="26" fillId="0" borderId="0">
      <alignment/>
      <protection/>
    </xf>
    <xf numFmtId="0" fontId="29" fillId="0" borderId="0" applyNumberFormat="0" applyAlignment="0">
      <protection/>
    </xf>
    <xf numFmtId="0" fontId="30" fillId="0" borderId="0" applyNumberFormat="0" applyAlignment="0"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25" fillId="0" borderId="0" applyFont="0" applyFill="0" applyBorder="0" applyAlignment="0" applyProtection="0"/>
    <xf numFmtId="0" fontId="24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38" fontId="11" fillId="31" borderId="0" applyNumberFormat="0" applyBorder="0" applyAlignment="0" applyProtection="0"/>
    <xf numFmtId="38" fontId="11" fillId="31" borderId="0" applyNumberFormat="0" applyBorder="0" applyAlignment="0" applyProtection="0"/>
    <xf numFmtId="38" fontId="11" fillId="31" borderId="0" applyNumberFormat="0" applyBorder="0" applyAlignment="0" applyProtection="0"/>
    <xf numFmtId="38" fontId="11" fillId="31" borderId="0" applyNumberFormat="0" applyBorder="0" applyAlignment="0" applyProtection="0"/>
    <xf numFmtId="38" fontId="11" fillId="31" borderId="0" applyNumberFormat="0" applyBorder="0" applyAlignment="0" applyProtection="0"/>
    <xf numFmtId="0" fontId="34" fillId="0" borderId="3" applyNumberFormat="0" applyAlignment="0" applyProtection="0"/>
    <xf numFmtId="0" fontId="34" fillId="0" borderId="4">
      <alignment horizontal="left"/>
      <protection/>
    </xf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38" fillId="0" borderId="0">
      <alignment/>
      <protection/>
    </xf>
    <xf numFmtId="40" fontId="38" fillId="0" borderId="0">
      <alignment/>
      <protection/>
    </xf>
    <xf numFmtId="0" fontId="39" fillId="7" borderId="1" applyNumberFormat="0" applyAlignment="0" applyProtection="0"/>
    <xf numFmtId="10" fontId="11" fillId="36" borderId="8" applyNumberFormat="0" applyBorder="0" applyAlignment="0" applyProtection="0"/>
    <xf numFmtId="10" fontId="11" fillId="36" borderId="8" applyNumberFormat="0" applyBorder="0" applyAlignment="0" applyProtection="0"/>
    <xf numFmtId="10" fontId="11" fillId="36" borderId="8" applyNumberFormat="0" applyBorder="0" applyAlignment="0" applyProtection="0"/>
    <xf numFmtId="10" fontId="11" fillId="36" borderId="8" applyNumberFormat="0" applyBorder="0" applyAlignment="0" applyProtection="0"/>
    <xf numFmtId="10" fontId="11" fillId="36" borderId="8" applyNumberFormat="0" applyBorder="0" applyAlignment="0" applyProtection="0"/>
    <xf numFmtId="0" fontId="39" fillId="7" borderId="1" applyNumberFormat="0" applyAlignment="0" applyProtection="0"/>
    <xf numFmtId="41" fontId="40" fillId="37" borderId="9">
      <alignment horizontal="left"/>
      <protection locked="0"/>
    </xf>
    <xf numFmtId="10" fontId="40" fillId="37" borderId="9">
      <alignment horizontal="right"/>
      <protection locked="0"/>
    </xf>
    <xf numFmtId="41" fontId="40" fillId="37" borderId="9">
      <alignment horizontal="left"/>
      <protection locked="0"/>
    </xf>
    <xf numFmtId="0" fontId="11" fillId="31" borderId="0">
      <alignment/>
      <protection/>
    </xf>
    <xf numFmtId="0" fontId="11" fillId="31" borderId="0">
      <alignment/>
      <protection/>
    </xf>
    <xf numFmtId="3" fontId="41" fillId="0" borderId="0" applyFill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44" fontId="43" fillId="0" borderId="11" applyNumberFormat="0" applyFont="0" applyAlignment="0">
      <protection/>
    </xf>
    <xf numFmtId="44" fontId="43" fillId="0" borderId="11" applyNumberFormat="0" applyFont="0" applyAlignment="0">
      <protection/>
    </xf>
    <xf numFmtId="44" fontId="43" fillId="0" borderId="11" applyNumberFormat="0" applyFont="0" applyAlignment="0">
      <protection/>
    </xf>
    <xf numFmtId="44" fontId="43" fillId="0" borderId="11" applyNumberFormat="0" applyFont="0" applyAlignment="0">
      <protection/>
    </xf>
    <xf numFmtId="44" fontId="43" fillId="0" borderId="11" applyNumberFormat="0" applyFont="0" applyAlignment="0">
      <protection/>
    </xf>
    <xf numFmtId="44" fontId="43" fillId="0" borderId="12" applyNumberFormat="0" applyFont="0" applyAlignment="0">
      <protection/>
    </xf>
    <xf numFmtId="44" fontId="43" fillId="0" borderId="12" applyNumberFormat="0" applyFont="0" applyAlignment="0">
      <protection/>
    </xf>
    <xf numFmtId="44" fontId="43" fillId="0" borderId="12" applyNumberFormat="0" applyFont="0" applyAlignment="0">
      <protection/>
    </xf>
    <xf numFmtId="44" fontId="43" fillId="0" borderId="12" applyNumberFormat="0" applyFont="0" applyAlignment="0">
      <protection/>
    </xf>
    <xf numFmtId="44" fontId="43" fillId="0" borderId="12" applyNumberFormat="0" applyFont="0" applyAlignment="0">
      <protection/>
    </xf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37" fontId="45" fillId="0" borderId="0">
      <alignment/>
      <protection/>
    </xf>
    <xf numFmtId="180" fontId="1" fillId="0" borderId="0">
      <alignment/>
      <protection/>
    </xf>
    <xf numFmtId="181" fontId="6" fillId="0" borderId="0">
      <alignment/>
      <protection/>
    </xf>
    <xf numFmtId="181" fontId="6" fillId="0" borderId="0">
      <alignment/>
      <protection/>
    </xf>
    <xf numFmtId="181" fontId="6" fillId="0" borderId="0">
      <alignment/>
      <protection/>
    </xf>
    <xf numFmtId="182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1" fontId="1" fillId="0" borderId="0">
      <alignment horizontal="left" wrapText="1"/>
      <protection/>
    </xf>
    <xf numFmtId="181" fontId="1" fillId="0" borderId="0">
      <alignment horizontal="left" wrapText="1"/>
      <protection/>
    </xf>
    <xf numFmtId="181" fontId="1" fillId="0" borderId="0">
      <alignment horizontal="left" wrapText="1"/>
      <protection/>
    </xf>
    <xf numFmtId="181" fontId="1" fillId="0" borderId="0">
      <alignment horizontal="left" wrapText="1"/>
      <protection/>
    </xf>
    <xf numFmtId="181" fontId="1" fillId="0" borderId="0">
      <alignment horizontal="left" wrapText="1"/>
      <protection/>
    </xf>
    <xf numFmtId="164" fontId="1" fillId="0" borderId="0">
      <alignment horizontal="left"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6" fillId="0" borderId="0">
      <alignment horizontal="left" wrapText="1"/>
      <protection/>
    </xf>
    <xf numFmtId="0" fontId="6" fillId="0" borderId="0">
      <alignment/>
      <protection/>
    </xf>
    <xf numFmtId="183" fontId="6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0" fillId="38" borderId="13" applyNumberFormat="0" applyFont="0" applyAlignment="0" applyProtection="0"/>
    <xf numFmtId="0" fontId="48" fillId="31" borderId="14" applyNumberFormat="0" applyAlignment="0" applyProtection="0"/>
    <xf numFmtId="0" fontId="48" fillId="31" borderId="14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6" fillId="39" borderId="9">
      <alignment/>
      <protection/>
    </xf>
    <xf numFmtId="0" fontId="47" fillId="0" borderId="0" applyNumberFormat="0" applyFont="0" applyFill="0" applyBorder="0" applyAlignment="0" applyProtection="0"/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9" fillId="0" borderId="15">
      <alignment horizontal="center"/>
      <protection/>
    </xf>
    <xf numFmtId="3" fontId="47" fillId="0" borderId="0" applyFont="0" applyFill="0" applyBorder="0" applyAlignment="0" applyProtection="0"/>
    <xf numFmtId="0" fontId="47" fillId="40" borderId="0" applyNumberFormat="0" applyFont="0" applyBorder="0" applyAlignment="0" applyProtection="0"/>
    <xf numFmtId="0" fontId="26" fillId="0" borderId="0">
      <alignment/>
      <protection/>
    </xf>
    <xf numFmtId="3" fontId="50" fillId="0" borderId="0" applyFill="0" applyBorder="0" applyAlignment="0" applyProtection="0"/>
    <xf numFmtId="0" fontId="51" fillId="0" borderId="0">
      <alignment/>
      <protection/>
    </xf>
    <xf numFmtId="3" fontId="50" fillId="0" borderId="0" applyFill="0" applyBorder="0" applyAlignment="0" applyProtection="0"/>
    <xf numFmtId="42" fontId="6" fillId="36" borderId="0">
      <alignment/>
      <protection/>
    </xf>
    <xf numFmtId="42" fontId="6" fillId="36" borderId="16">
      <alignment vertical="center"/>
      <protection/>
    </xf>
    <xf numFmtId="0" fontId="43" fillId="36" borderId="17" applyNumberFormat="0">
      <alignment horizontal="center" vertical="center" wrapText="1"/>
      <protection/>
    </xf>
    <xf numFmtId="0" fontId="43" fillId="36" borderId="17" applyNumberFormat="0">
      <alignment horizontal="center" vertical="center" wrapText="1"/>
      <protection/>
    </xf>
    <xf numFmtId="10" fontId="6" fillId="36" borderId="0">
      <alignment/>
      <protection/>
    </xf>
    <xf numFmtId="10" fontId="6" fillId="36" borderId="0">
      <alignment/>
      <protection/>
    </xf>
    <xf numFmtId="184" fontId="6" fillId="36" borderId="0">
      <alignment/>
      <protection/>
    </xf>
    <xf numFmtId="184" fontId="6" fillId="36" borderId="0">
      <alignment/>
      <protection/>
    </xf>
    <xf numFmtId="42" fontId="6" fillId="36" borderId="0">
      <alignment/>
      <protection/>
    </xf>
    <xf numFmtId="167" fontId="38" fillId="0" borderId="0" applyBorder="0" applyAlignment="0">
      <protection/>
    </xf>
    <xf numFmtId="42" fontId="6" fillId="36" borderId="18">
      <alignment horizontal="left"/>
      <protection/>
    </xf>
    <xf numFmtId="184" fontId="52" fillId="36" borderId="18">
      <alignment horizontal="left"/>
      <protection/>
    </xf>
    <xf numFmtId="167" fontId="38" fillId="0" borderId="0" applyBorder="0" applyAlignment="0">
      <protection/>
    </xf>
    <xf numFmtId="14" fontId="1" fillId="0" borderId="0" applyNumberFormat="0" applyFill="0" applyBorder="0" applyAlignment="0" applyProtection="0"/>
    <xf numFmtId="185" fontId="6" fillId="0" borderId="0" applyFont="0" applyFill="0" applyAlignment="0">
      <protection/>
    </xf>
    <xf numFmtId="185" fontId="6" fillId="0" borderId="0" applyFont="0" applyFill="0" applyAlignment="0">
      <protection/>
    </xf>
    <xf numFmtId="4" fontId="53" fillId="37" borderId="14" applyNumberFormat="0" applyProtection="0">
      <alignment vertical="center"/>
    </xf>
    <xf numFmtId="4" fontId="54" fillId="37" borderId="14" applyNumberFormat="0" applyProtection="0">
      <alignment vertical="center"/>
    </xf>
    <xf numFmtId="4" fontId="53" fillId="37" borderId="14" applyNumberFormat="0" applyProtection="0">
      <alignment horizontal="left" vertical="center" indent="1"/>
    </xf>
    <xf numFmtId="4" fontId="53" fillId="37" borderId="14" applyNumberFormat="0" applyProtection="0">
      <alignment horizontal="left" vertical="center" indent="1"/>
    </xf>
    <xf numFmtId="0" fontId="6" fillId="2" borderId="14" applyNumberFormat="0" applyProtection="0">
      <alignment horizontal="left" vertical="center" indent="1"/>
    </xf>
    <xf numFmtId="4" fontId="53" fillId="3" borderId="14" applyNumberFormat="0" applyProtection="0">
      <alignment horizontal="right" vertical="center"/>
    </xf>
    <xf numFmtId="4" fontId="53" fillId="9" borderId="14" applyNumberFormat="0" applyProtection="0">
      <alignment horizontal="right" vertical="center"/>
    </xf>
    <xf numFmtId="4" fontId="53" fillId="20" borderId="14" applyNumberFormat="0" applyProtection="0">
      <alignment horizontal="right" vertical="center"/>
    </xf>
    <xf numFmtId="4" fontId="53" fillId="11" borderId="14" applyNumberFormat="0" applyProtection="0">
      <alignment horizontal="right" vertical="center"/>
    </xf>
    <xf numFmtId="4" fontId="53" fillId="15" borderId="14" applyNumberFormat="0" applyProtection="0">
      <alignment horizontal="right" vertical="center"/>
    </xf>
    <xf numFmtId="4" fontId="53" fillId="28" borderId="14" applyNumberFormat="0" applyProtection="0">
      <alignment horizontal="right" vertical="center"/>
    </xf>
    <xf numFmtId="4" fontId="53" fillId="24" borderId="14" applyNumberFormat="0" applyProtection="0">
      <alignment horizontal="right" vertical="center"/>
    </xf>
    <xf numFmtId="4" fontId="53" fillId="41" borderId="14" applyNumberFormat="0" applyProtection="0">
      <alignment horizontal="right" vertical="center"/>
    </xf>
    <xf numFmtId="4" fontId="53" fillId="10" borderId="14" applyNumberFormat="0" applyProtection="0">
      <alignment horizontal="right" vertical="center"/>
    </xf>
    <xf numFmtId="4" fontId="55" fillId="42" borderId="14" applyNumberFormat="0" applyProtection="0">
      <alignment horizontal="left" vertical="center" indent="1"/>
    </xf>
    <xf numFmtId="4" fontId="53" fillId="43" borderId="19" applyNumberFormat="0" applyProtection="0">
      <alignment horizontal="left" vertical="center" indent="1"/>
    </xf>
    <xf numFmtId="4" fontId="56" fillId="44" borderId="0" applyNumberFormat="0" applyProtection="0">
      <alignment horizontal="left" vertical="center" indent="1"/>
    </xf>
    <xf numFmtId="0" fontId="6" fillId="2" borderId="14" applyNumberFormat="0" applyProtection="0">
      <alignment horizontal="left" vertical="center" indent="1"/>
    </xf>
    <xf numFmtId="4" fontId="53" fillId="43" borderId="14" applyNumberFormat="0" applyProtection="0">
      <alignment horizontal="left" vertical="center" indent="1"/>
    </xf>
    <xf numFmtId="4" fontId="53" fillId="45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center" indent="1"/>
    </xf>
    <xf numFmtId="0" fontId="6" fillId="45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center" indent="1"/>
    </xf>
    <xf numFmtId="0" fontId="6" fillId="31" borderId="14" applyNumberFormat="0" applyProtection="0">
      <alignment horizontal="left" vertical="center" indent="1"/>
    </xf>
    <xf numFmtId="0" fontId="6" fillId="31" borderId="14" applyNumberFormat="0" applyProtection="0">
      <alignment horizontal="left" vertical="center" indent="1"/>
    </xf>
    <xf numFmtId="0" fontId="6" fillId="2" borderId="14" applyNumberFormat="0" applyProtection="0">
      <alignment horizontal="left" vertical="center" indent="1"/>
    </xf>
    <xf numFmtId="0" fontId="6" fillId="2" borderId="14" applyNumberFormat="0" applyProtection="0">
      <alignment horizontal="left" vertical="center" indent="1"/>
    </xf>
    <xf numFmtId="0" fontId="6" fillId="36" borderId="8" applyNumberFormat="0">
      <alignment/>
      <protection locked="0"/>
    </xf>
    <xf numFmtId="4" fontId="53" fillId="38" borderId="14" applyNumberFormat="0" applyProtection="0">
      <alignment vertical="center"/>
    </xf>
    <xf numFmtId="4" fontId="54" fillId="38" borderId="14" applyNumberFormat="0" applyProtection="0">
      <alignment vertical="center"/>
    </xf>
    <xf numFmtId="4" fontId="53" fillId="38" borderId="14" applyNumberFormat="0" applyProtection="0">
      <alignment horizontal="left" vertical="center" indent="1"/>
    </xf>
    <xf numFmtId="4" fontId="53" fillId="38" borderId="14" applyNumberFormat="0" applyProtection="0">
      <alignment horizontal="left" vertical="center" indent="1"/>
    </xf>
    <xf numFmtId="4" fontId="53" fillId="43" borderId="14" applyNumberFormat="0" applyProtection="0">
      <alignment horizontal="right" vertical="center"/>
    </xf>
    <xf numFmtId="4" fontId="54" fillId="43" borderId="14" applyNumberFormat="0" applyProtection="0">
      <alignment horizontal="right" vertical="center"/>
    </xf>
    <xf numFmtId="0" fontId="6" fillId="2" borderId="14" applyNumberFormat="0" applyProtection="0">
      <alignment horizontal="left" vertical="center" indent="1"/>
    </xf>
    <xf numFmtId="0" fontId="6" fillId="2" borderId="14" applyNumberFormat="0" applyProtection="0">
      <alignment horizontal="left" vertical="center" indent="1"/>
    </xf>
    <xf numFmtId="0" fontId="57" fillId="0" borderId="0">
      <alignment/>
      <protection/>
    </xf>
    <xf numFmtId="4" fontId="58" fillId="43" borderId="14" applyNumberFormat="0" applyProtection="0">
      <alignment horizontal="right" vertical="center"/>
    </xf>
    <xf numFmtId="39" fontId="6" fillId="46" borderId="0">
      <alignment/>
      <protection/>
    </xf>
    <xf numFmtId="39" fontId="6" fillId="46" borderId="0">
      <alignment/>
      <protection/>
    </xf>
    <xf numFmtId="0" fontId="59" fillId="0" borderId="0" applyNumberFormat="0" applyFill="0" applyBorder="0" applyAlignment="0" applyProtection="0"/>
    <xf numFmtId="38" fontId="11" fillId="0" borderId="20">
      <alignment/>
      <protection/>
    </xf>
    <xf numFmtId="38" fontId="11" fillId="0" borderId="20">
      <alignment/>
      <protection/>
    </xf>
    <xf numFmtId="38" fontId="11" fillId="0" borderId="20">
      <alignment/>
      <protection/>
    </xf>
    <xf numFmtId="38" fontId="11" fillId="0" borderId="20">
      <alignment/>
      <protection/>
    </xf>
    <xf numFmtId="38" fontId="11" fillId="0" borderId="20">
      <alignment/>
      <protection/>
    </xf>
    <xf numFmtId="38" fontId="38" fillId="0" borderId="18">
      <alignment/>
      <protection/>
    </xf>
    <xf numFmtId="39" fontId="1" fillId="47" borderId="0">
      <alignment/>
      <protection/>
    </xf>
    <xf numFmtId="169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64" fontId="6" fillId="0" borderId="0">
      <alignment horizontal="left" wrapText="1"/>
      <protection/>
    </xf>
    <xf numFmtId="186" fontId="6" fillId="0" borderId="0">
      <alignment horizontal="left" wrapText="1"/>
      <protection/>
    </xf>
    <xf numFmtId="187" fontId="6" fillId="0" borderId="0">
      <alignment horizontal="left" wrapText="1"/>
      <protection/>
    </xf>
    <xf numFmtId="40" fontId="60" fillId="0" borderId="0" applyBorder="0">
      <alignment horizontal="right"/>
      <protection/>
    </xf>
    <xf numFmtId="41" fontId="61" fillId="36" borderId="0">
      <alignment horizontal="left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8" fontId="63" fillId="36" borderId="0">
      <alignment horizontal="left" vertical="center"/>
      <protection/>
    </xf>
    <xf numFmtId="0" fontId="43" fillId="36" borderId="0">
      <alignment horizontal="left" wrapText="1"/>
      <protection/>
    </xf>
    <xf numFmtId="0" fontId="43" fillId="36" borderId="0">
      <alignment horizontal="left" wrapText="1"/>
      <protection/>
    </xf>
    <xf numFmtId="0" fontId="64" fillId="0" borderId="0">
      <alignment horizontal="left" vertical="center"/>
      <protection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26" fillId="0" borderId="22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1177" applyNumberFormat="1" applyAlignment="1">
      <alignment/>
      <protection/>
    </xf>
    <xf numFmtId="3" fontId="3" fillId="0" borderId="0" xfId="1051" applyNumberFormat="1" applyFont="1" applyFill="1" applyAlignment="1">
      <alignment/>
    </xf>
    <xf numFmtId="0" fontId="3" fillId="0" borderId="0" xfId="1177" applyNumberFormat="1" applyFont="1" applyFill="1" applyAlignment="1">
      <alignment/>
      <protection/>
    </xf>
    <xf numFmtId="0" fontId="3" fillId="0" borderId="0" xfId="1177" applyNumberFormat="1" applyFont="1" applyFill="1" applyBorder="1" applyAlignment="1">
      <alignment/>
      <protection/>
    </xf>
    <xf numFmtId="3" fontId="3" fillId="0" borderId="0" xfId="1051" applyNumberFormat="1" applyFont="1" applyFill="1" applyBorder="1" applyAlignment="1">
      <alignment/>
    </xf>
    <xf numFmtId="3" fontId="3" fillId="0" borderId="0" xfId="1051" applyNumberFormat="1" applyFont="1" applyFill="1" applyBorder="1" applyAlignment="1">
      <alignment horizontal="left" indent="1"/>
    </xf>
    <xf numFmtId="0" fontId="3" fillId="0" borderId="0" xfId="1177" applyNumberFormat="1" applyFont="1" applyFill="1" applyBorder="1" applyAlignment="1">
      <alignment horizontal="left" indent="1"/>
      <protection/>
    </xf>
    <xf numFmtId="3" fontId="3" fillId="0" borderId="0" xfId="1051" applyNumberFormat="1" applyFont="1" applyFill="1" applyBorder="1" applyAlignment="1">
      <alignment horizontal="center"/>
    </xf>
    <xf numFmtId="0" fontId="3" fillId="0" borderId="0" xfId="1177" applyNumberFormat="1" applyFont="1" applyFill="1" applyBorder="1" applyAlignment="1">
      <alignment horizontal="center"/>
      <protection/>
    </xf>
    <xf numFmtId="42" fontId="3" fillId="0" borderId="0" xfId="1177" applyNumberFormat="1" applyFont="1" applyFill="1" applyBorder="1" applyAlignment="1">
      <alignment/>
      <protection/>
    </xf>
    <xf numFmtId="41" fontId="3" fillId="0" borderId="0" xfId="1177" applyNumberFormat="1" applyFont="1" applyFill="1" applyBorder="1" applyAlignment="1">
      <alignment horizontal="center"/>
      <protection/>
    </xf>
    <xf numFmtId="41" fontId="3" fillId="0" borderId="0" xfId="1177" applyNumberFormat="1" applyFont="1" applyFill="1" applyBorder="1" applyAlignment="1">
      <alignment/>
      <protection/>
    </xf>
    <xf numFmtId="37" fontId="3" fillId="0" borderId="0" xfId="1177" applyNumberFormat="1" applyFont="1" applyFill="1" applyAlignment="1">
      <alignment horizontal="right"/>
      <protection/>
    </xf>
    <xf numFmtId="42" fontId="3" fillId="0" borderId="0" xfId="1177" applyNumberFormat="1" applyFont="1" applyFill="1" applyAlignment="1">
      <alignment/>
      <protection/>
    </xf>
    <xf numFmtId="41" fontId="3" fillId="0" borderId="0" xfId="1177" applyNumberFormat="1" applyFont="1" applyFill="1" applyAlignment="1">
      <alignment/>
      <protection/>
    </xf>
    <xf numFmtId="0" fontId="1" fillId="0" borderId="0" xfId="1177" applyNumberFormat="1" applyFont="1" applyFill="1" applyAlignment="1">
      <alignment/>
      <protection/>
    </xf>
    <xf numFmtId="0" fontId="3" fillId="0" borderId="0" xfId="1177" applyNumberFormat="1" applyFont="1" applyFill="1" applyAlignment="1">
      <alignment horizontal="center"/>
      <protection/>
    </xf>
    <xf numFmtId="42" fontId="3" fillId="0" borderId="0" xfId="1051" applyNumberFormat="1" applyFont="1" applyFill="1" applyBorder="1" applyAlignment="1">
      <alignment/>
    </xf>
    <xf numFmtId="42" fontId="3" fillId="0" borderId="23" xfId="1051" applyNumberFormat="1" applyFont="1" applyFill="1" applyBorder="1" applyAlignment="1">
      <alignment/>
    </xf>
    <xf numFmtId="165" fontId="3" fillId="0" borderId="0" xfId="1177" applyNumberFormat="1" applyFont="1" applyFill="1" applyBorder="1" applyAlignment="1">
      <alignment/>
      <protection/>
    </xf>
    <xf numFmtId="42" fontId="3" fillId="0" borderId="4" xfId="1051" applyNumberFormat="1" applyFont="1" applyFill="1" applyBorder="1" applyAlignment="1">
      <alignment/>
    </xf>
    <xf numFmtId="37" fontId="3" fillId="0" borderId="0" xfId="1051" applyNumberFormat="1" applyFont="1" applyFill="1" applyBorder="1" applyAlignment="1">
      <alignment/>
    </xf>
    <xf numFmtId="164" fontId="3" fillId="0" borderId="0" xfId="1177" applyFont="1" applyFill="1" applyAlignment="1">
      <alignment horizontal="left"/>
      <protection/>
    </xf>
    <xf numFmtId="0" fontId="3" fillId="0" borderId="0" xfId="1177" applyNumberFormat="1" applyFont="1" applyFill="1" applyAlignment="1">
      <alignment horizontal="left"/>
      <protection/>
    </xf>
    <xf numFmtId="37" fontId="3" fillId="0" borderId="0" xfId="1177" applyNumberFormat="1" applyFont="1" applyFill="1" applyAlignment="1">
      <alignment/>
      <protection/>
    </xf>
    <xf numFmtId="0" fontId="4" fillId="0" borderId="0" xfId="1177" applyNumberFormat="1" applyFont="1" applyFill="1" applyAlignment="1">
      <alignment/>
      <protection/>
    </xf>
    <xf numFmtId="166" fontId="3" fillId="0" borderId="18" xfId="1177" applyNumberFormat="1" applyFont="1" applyFill="1" applyBorder="1" applyAlignment="1">
      <alignment/>
      <protection/>
    </xf>
    <xf numFmtId="41" fontId="3" fillId="0" borderId="18" xfId="1177" applyNumberFormat="1" applyFont="1" applyFill="1" applyBorder="1" applyAlignment="1">
      <alignment/>
      <protection/>
    </xf>
    <xf numFmtId="41" fontId="3" fillId="0" borderId="18" xfId="1177" applyNumberFormat="1" applyFont="1" applyFill="1" applyBorder="1" applyAlignment="1" applyProtection="1">
      <alignment/>
      <protection locked="0"/>
    </xf>
    <xf numFmtId="41" fontId="3" fillId="0" borderId="0" xfId="1177" applyNumberFormat="1" applyFont="1" applyFill="1" applyAlignment="1" applyProtection="1">
      <alignment/>
      <protection locked="0"/>
    </xf>
    <xf numFmtId="41" fontId="3" fillId="0" borderId="0" xfId="1177" applyNumberFormat="1" applyFont="1" applyFill="1" applyBorder="1" applyAlignment="1" applyProtection="1">
      <alignment/>
      <protection locked="0"/>
    </xf>
    <xf numFmtId="37" fontId="3" fillId="0" borderId="0" xfId="1177" applyNumberFormat="1" applyFont="1" applyFill="1" applyBorder="1" applyAlignment="1">
      <alignment/>
      <protection/>
    </xf>
    <xf numFmtId="0" fontId="5" fillId="0" borderId="0" xfId="1177" applyNumberFormat="1" applyFont="1" applyFill="1" applyAlignment="1">
      <alignment horizontal="left"/>
      <protection/>
    </xf>
    <xf numFmtId="42" fontId="3" fillId="0" borderId="0" xfId="1177" applyNumberFormat="1" applyFont="1" applyFill="1" applyAlignment="1" applyProtection="1">
      <alignment/>
      <protection locked="0"/>
    </xf>
    <xf numFmtId="42" fontId="3" fillId="0" borderId="16" xfId="1177" applyNumberFormat="1" applyFont="1" applyFill="1" applyBorder="1" applyAlignment="1">
      <alignment/>
      <protection/>
    </xf>
    <xf numFmtId="3" fontId="3" fillId="0" borderId="0" xfId="1051" applyNumberFormat="1" applyFont="1" applyFill="1" applyBorder="1" applyAlignment="1">
      <alignment/>
    </xf>
    <xf numFmtId="167" fontId="1" fillId="0" borderId="0" xfId="1177" applyNumberFormat="1" applyFont="1" applyFill="1" applyBorder="1" applyAlignment="1">
      <alignment/>
      <protection/>
    </xf>
    <xf numFmtId="168" fontId="3" fillId="0" borderId="0" xfId="1177" applyNumberFormat="1" applyFont="1" applyFill="1" applyBorder="1" applyAlignment="1">
      <alignment/>
      <protection/>
    </xf>
    <xf numFmtId="0" fontId="3" fillId="0" borderId="0" xfId="1177" applyNumberFormat="1" applyFont="1" applyFill="1" applyBorder="1" applyAlignment="1">
      <alignment horizontal="left"/>
      <protection/>
    </xf>
    <xf numFmtId="168" fontId="3" fillId="0" borderId="23" xfId="1081" applyNumberFormat="1" applyFont="1" applyFill="1" applyBorder="1" applyAlignment="1">
      <alignment/>
    </xf>
    <xf numFmtId="0" fontId="3" fillId="0" borderId="0" xfId="1177" applyNumberFormat="1" applyFont="1" applyAlignment="1">
      <alignment/>
      <protection/>
    </xf>
    <xf numFmtId="0" fontId="1" fillId="0" borderId="0" xfId="1177" applyNumberFormat="1" applyFont="1" applyAlignment="1">
      <alignment/>
      <protection/>
    </xf>
    <xf numFmtId="1" fontId="3" fillId="0" borderId="0" xfId="1177" applyNumberFormat="1" applyFont="1" applyFill="1" applyBorder="1" applyAlignment="1">
      <alignment horizontal="left"/>
      <protection/>
    </xf>
    <xf numFmtId="37" fontId="3" fillId="0" borderId="17" xfId="1051" applyNumberFormat="1" applyFont="1" applyBorder="1" applyAlignment="1">
      <alignment/>
    </xf>
    <xf numFmtId="9" fontId="3" fillId="0" borderId="0" xfId="1241" applyFont="1" applyAlignment="1">
      <alignment/>
    </xf>
    <xf numFmtId="41" fontId="3" fillId="0" borderId="0" xfId="1177" applyNumberFormat="1" applyFont="1" applyFill="1" applyBorder="1" applyAlignment="1">
      <alignment horizontal="left"/>
      <protection/>
    </xf>
    <xf numFmtId="3" fontId="5" fillId="0" borderId="0" xfId="1051" applyNumberFormat="1" applyFont="1" applyFill="1" applyAlignment="1">
      <alignment/>
    </xf>
    <xf numFmtId="3" fontId="3" fillId="0" borderId="0" xfId="1051" applyNumberFormat="1" applyFont="1" applyBorder="1" applyAlignment="1">
      <alignment/>
    </xf>
    <xf numFmtId="42" fontId="3" fillId="0" borderId="23" xfId="1177" applyNumberFormat="1" applyFont="1" applyFill="1" applyBorder="1" applyAlignment="1">
      <alignment/>
      <protection/>
    </xf>
    <xf numFmtId="9" fontId="3" fillId="0" borderId="0" xfId="1241" applyFont="1" applyFill="1" applyAlignment="1">
      <alignment/>
    </xf>
    <xf numFmtId="164" fontId="3" fillId="0" borderId="0" xfId="1325" applyNumberFormat="1" applyFont="1" applyFill="1" applyAlignment="1" quotePrefix="1">
      <alignment horizontal="left"/>
      <protection/>
    </xf>
    <xf numFmtId="41" fontId="3" fillId="0" borderId="17" xfId="1177" applyNumberFormat="1" applyFont="1" applyFill="1" applyBorder="1" applyAlignment="1">
      <alignment/>
      <protection/>
    </xf>
    <xf numFmtId="9" fontId="3" fillId="0" borderId="0" xfId="1241" applyFont="1" applyFill="1" applyBorder="1" applyAlignment="1" quotePrefix="1">
      <alignment horizontal="right"/>
    </xf>
    <xf numFmtId="41" fontId="3" fillId="0" borderId="0" xfId="1177" applyNumberFormat="1" applyFont="1" applyFill="1" applyBorder="1" applyAlignment="1" quotePrefix="1">
      <alignment horizontal="left"/>
      <protection/>
    </xf>
    <xf numFmtId="1" fontId="3" fillId="0" borderId="0" xfId="1177" applyNumberFormat="1" applyFont="1" applyFill="1" applyBorder="1" applyAlignment="1" quotePrefix="1">
      <alignment horizontal="left"/>
      <protection/>
    </xf>
    <xf numFmtId="3" fontId="3" fillId="0" borderId="0" xfId="1177" applyNumberFormat="1" applyFont="1" applyFill="1" applyAlignment="1">
      <alignment/>
      <protection/>
    </xf>
    <xf numFmtId="167" fontId="3" fillId="0" borderId="0" xfId="1051" applyNumberFormat="1" applyFont="1" applyFill="1" applyBorder="1" applyAlignment="1">
      <alignment/>
    </xf>
    <xf numFmtId="164" fontId="3" fillId="0" borderId="0" xfId="1177" applyFont="1" applyFill="1" applyBorder="1" applyAlignment="1">
      <alignment horizontal="left" wrapText="1"/>
      <protection/>
    </xf>
    <xf numFmtId="164" fontId="3" fillId="0" borderId="0" xfId="1177" applyFont="1" applyFill="1" applyAlignment="1">
      <alignment horizontal="left" wrapText="1"/>
      <protection/>
    </xf>
    <xf numFmtId="0" fontId="3" fillId="0" borderId="0" xfId="1177" applyNumberFormat="1" applyFont="1" applyFill="1" applyBorder="1" applyAlignment="1">
      <alignment horizontal="right"/>
      <protection/>
    </xf>
    <xf numFmtId="0" fontId="7" fillId="0" borderId="0" xfId="1177" applyNumberFormat="1" applyFont="1" applyAlignment="1">
      <alignment/>
      <protection/>
    </xf>
    <xf numFmtId="41" fontId="3" fillId="0" borderId="0" xfId="1051" applyNumberFormat="1" applyFont="1" applyFill="1" applyAlignment="1">
      <alignment/>
    </xf>
    <xf numFmtId="164" fontId="3" fillId="0" borderId="0" xfId="1177" applyFont="1" applyFill="1" applyBorder="1" applyAlignment="1">
      <alignment horizontal="center"/>
      <protection/>
    </xf>
    <xf numFmtId="164" fontId="3" fillId="0" borderId="0" xfId="1177" applyFont="1" applyFill="1" applyBorder="1" applyAlignment="1">
      <alignment horizontal="left"/>
      <protection/>
    </xf>
    <xf numFmtId="37" fontId="8" fillId="0" borderId="0" xfId="1177" applyNumberFormat="1" applyFont="1" applyFill="1" applyAlignment="1" applyProtection="1">
      <alignment horizontal="left"/>
      <protection/>
    </xf>
    <xf numFmtId="170" fontId="8" fillId="0" borderId="0" xfId="1177" applyNumberFormat="1" applyFont="1" applyFill="1" applyAlignment="1" applyProtection="1">
      <alignment/>
      <protection/>
    </xf>
    <xf numFmtId="164" fontId="3" fillId="0" borderId="0" xfId="1177" applyFont="1" applyFill="1" applyAlignment="1">
      <alignment/>
      <protection/>
    </xf>
    <xf numFmtId="0" fontId="3" fillId="0" borderId="0" xfId="1177" applyNumberFormat="1" applyFont="1" applyFill="1" applyAlignment="1">
      <alignment horizontal="right"/>
      <protection/>
    </xf>
    <xf numFmtId="1" fontId="3" fillId="0" borderId="0" xfId="1177" applyNumberFormat="1" applyFont="1" applyFill="1" applyAlignment="1" quotePrefix="1">
      <alignment horizontal="left"/>
      <protection/>
    </xf>
    <xf numFmtId="0" fontId="3" fillId="0" borderId="0" xfId="1177" applyNumberFormat="1" applyFont="1" applyFill="1" applyAlignment="1">
      <alignment horizontal="centerContinuous"/>
      <protection/>
    </xf>
    <xf numFmtId="43" fontId="3" fillId="0" borderId="0" xfId="1177" applyNumberFormat="1" applyFont="1" applyFill="1" applyAlignment="1">
      <alignment/>
      <protection/>
    </xf>
    <xf numFmtId="164" fontId="3" fillId="0" borderId="0" xfId="1177" applyFont="1" applyFill="1" applyAlignment="1">
      <alignment horizontal="left" indent="1"/>
      <protection/>
    </xf>
    <xf numFmtId="37" fontId="9" fillId="0" borderId="0" xfId="1177" applyNumberFormat="1" applyFont="1" applyFill="1" applyAlignment="1" applyProtection="1">
      <alignment horizontal="left"/>
      <protection/>
    </xf>
    <xf numFmtId="164" fontId="3" fillId="0" borderId="0" xfId="1177" applyFont="1" applyFill="1" applyBorder="1" applyAlignment="1">
      <alignment/>
      <protection/>
    </xf>
    <xf numFmtId="3" fontId="1" fillId="0" borderId="0" xfId="1051" applyNumberFormat="1" applyFont="1" applyFill="1" applyAlignment="1">
      <alignment/>
    </xf>
    <xf numFmtId="167" fontId="7" fillId="0" borderId="0" xfId="1177" applyNumberFormat="1" applyFont="1" applyAlignment="1">
      <alignment/>
      <protection/>
    </xf>
    <xf numFmtId="164" fontId="6" fillId="0" borderId="0" xfId="1177" applyFont="1" applyFill="1" applyAlignment="1">
      <alignment horizontal="left" wrapText="1"/>
      <protection/>
    </xf>
    <xf numFmtId="37" fontId="9" fillId="0" borderId="0" xfId="1177" applyNumberFormat="1" applyFont="1" applyFill="1" applyBorder="1" applyAlignment="1" applyProtection="1">
      <alignment horizontal="left"/>
      <protection/>
    </xf>
    <xf numFmtId="37" fontId="8" fillId="0" borderId="0" xfId="1177" applyNumberFormat="1" applyFont="1" applyFill="1" applyBorder="1" applyAlignment="1" applyProtection="1">
      <alignment horizontal="left"/>
      <protection/>
    </xf>
    <xf numFmtId="0" fontId="3" fillId="0" borderId="0" xfId="1177" applyNumberFormat="1" applyFont="1" applyFill="1" applyAlignment="1" applyProtection="1">
      <alignment horizontal="right"/>
      <protection locked="0"/>
    </xf>
    <xf numFmtId="0" fontId="7" fillId="0" borderId="0" xfId="1177" applyNumberFormat="1" applyFont="1" applyFill="1" applyAlignment="1">
      <alignment/>
      <protection/>
    </xf>
    <xf numFmtId="171" fontId="3" fillId="0" borderId="0" xfId="1177" applyNumberFormat="1" applyFont="1" applyFill="1" applyBorder="1" applyAlignment="1" applyProtection="1">
      <alignment/>
      <protection locked="0"/>
    </xf>
    <xf numFmtId="172" fontId="3" fillId="0" borderId="0" xfId="1177" applyNumberFormat="1" applyFont="1" applyFill="1" applyBorder="1" applyAlignment="1">
      <alignment/>
      <protection/>
    </xf>
    <xf numFmtId="41" fontId="3" fillId="0" borderId="4" xfId="1177" applyNumberFormat="1" applyFont="1" applyFill="1" applyBorder="1" applyAlignment="1">
      <alignment/>
      <protection/>
    </xf>
    <xf numFmtId="37" fontId="8" fillId="0" borderId="0" xfId="1177" applyNumberFormat="1" applyFont="1" applyFill="1" applyBorder="1" applyAlignment="1" applyProtection="1">
      <alignment horizontal="right"/>
      <protection/>
    </xf>
    <xf numFmtId="10" fontId="8" fillId="0" borderId="0" xfId="1241" applyNumberFormat="1" applyFont="1" applyFill="1" applyBorder="1" applyAlignment="1" applyProtection="1">
      <alignment horizontal="right"/>
      <protection/>
    </xf>
    <xf numFmtId="167" fontId="7" fillId="0" borderId="0" xfId="1177" applyNumberFormat="1" applyFont="1" applyFill="1" applyBorder="1" applyAlignment="1">
      <alignment/>
      <protection/>
    </xf>
    <xf numFmtId="167" fontId="7" fillId="0" borderId="0" xfId="1177" applyNumberFormat="1" applyFont="1" applyFill="1" applyBorder="1" applyAlignment="1" quotePrefix="1">
      <alignment/>
      <protection/>
    </xf>
    <xf numFmtId="42" fontId="3" fillId="0" borderId="0" xfId="1216" applyNumberFormat="1" applyFont="1" applyFill="1" applyBorder="1">
      <alignment/>
      <protection/>
    </xf>
    <xf numFmtId="164" fontId="3" fillId="0" borderId="0" xfId="1177" applyNumberFormat="1" applyFont="1" applyFill="1" applyAlignment="1">
      <alignment horizontal="left"/>
      <protection/>
    </xf>
    <xf numFmtId="164" fontId="3" fillId="0" borderId="0" xfId="1177" applyFont="1" applyFill="1" applyAlignment="1">
      <alignment horizontal="center"/>
      <protection/>
    </xf>
    <xf numFmtId="0" fontId="7" fillId="0" borderId="0" xfId="1177" applyNumberFormat="1" applyFont="1" applyFill="1" applyAlignment="1">
      <alignment horizontal="left" indent="5"/>
      <protection/>
    </xf>
    <xf numFmtId="0" fontId="3" fillId="0" borderId="0" xfId="1177" applyNumberFormat="1" applyFont="1" applyFill="1" applyBorder="1" applyAlignment="1" applyProtection="1">
      <alignment horizontal="left"/>
      <protection locked="0"/>
    </xf>
    <xf numFmtId="41" fontId="3" fillId="0" borderId="0" xfId="1177" applyNumberFormat="1" applyFont="1" applyFill="1" applyAlignment="1">
      <alignment horizontal="centerContinuous"/>
      <protection/>
    </xf>
    <xf numFmtId="37" fontId="1" fillId="0" borderId="0" xfId="1051" applyNumberFormat="1" applyFont="1" applyFill="1" applyAlignment="1">
      <alignment/>
    </xf>
    <xf numFmtId="168" fontId="7" fillId="0" borderId="0" xfId="1177" applyNumberFormat="1" applyFont="1" applyFill="1" applyAlignment="1">
      <alignment/>
      <protection/>
    </xf>
    <xf numFmtId="37" fontId="8" fillId="0" borderId="0" xfId="1177" applyNumberFormat="1" applyFont="1" applyFill="1" applyBorder="1" applyAlignment="1" applyProtection="1">
      <alignment horizontal="center"/>
      <protection/>
    </xf>
    <xf numFmtId="42" fontId="3" fillId="0" borderId="16" xfId="1081" applyNumberFormat="1" applyFont="1" applyFill="1" applyBorder="1" applyAlignment="1" applyProtection="1">
      <alignment/>
      <protection locked="0"/>
    </xf>
    <xf numFmtId="0" fontId="3" fillId="0" borderId="0" xfId="1177" applyNumberFormat="1" applyFont="1" applyFill="1" applyAlignment="1" quotePrefix="1">
      <alignment horizontal="right"/>
      <protection/>
    </xf>
    <xf numFmtId="171" fontId="3" fillId="0" borderId="0" xfId="1177" applyNumberFormat="1" applyFont="1" applyFill="1" applyAlignment="1">
      <alignment/>
      <protection/>
    </xf>
    <xf numFmtId="167" fontId="3" fillId="0" borderId="0" xfId="1051" applyNumberFormat="1" applyFont="1" applyFill="1" applyBorder="1" applyAlignment="1">
      <alignment horizontal="center"/>
    </xf>
    <xf numFmtId="4" fontId="3" fillId="0" borderId="0" xfId="1051" applyFont="1" applyFill="1" applyAlignment="1">
      <alignment/>
    </xf>
    <xf numFmtId="9" fontId="3" fillId="0" borderId="0" xfId="1177" applyNumberFormat="1" applyFont="1" applyFill="1" applyAlignment="1">
      <alignment/>
      <protection/>
    </xf>
    <xf numFmtId="0" fontId="3" fillId="0" borderId="0" xfId="1177" applyNumberFormat="1" applyFont="1" applyFill="1" applyAlignment="1">
      <alignment horizontal="left" indent="1"/>
      <protection/>
    </xf>
    <xf numFmtId="4" fontId="3" fillId="0" borderId="0" xfId="1051" applyFont="1" applyFill="1" applyBorder="1" applyAlignment="1">
      <alignment/>
    </xf>
    <xf numFmtId="168" fontId="3" fillId="0" borderId="16" xfId="1177" applyNumberFormat="1" applyFont="1" applyFill="1" applyBorder="1" applyAlignment="1">
      <alignment/>
      <protection/>
    </xf>
    <xf numFmtId="0" fontId="3" fillId="0" borderId="0" xfId="1216" applyFont="1" applyFill="1" applyAlignment="1">
      <alignment horizontal="center"/>
      <protection/>
    </xf>
    <xf numFmtId="42" fontId="3" fillId="0" borderId="0" xfId="1081" applyNumberFormat="1" applyFont="1" applyFill="1" applyBorder="1" applyAlignment="1" applyProtection="1">
      <alignment/>
      <protection locked="0"/>
    </xf>
    <xf numFmtId="42" fontId="1" fillId="0" borderId="0" xfId="1177" applyNumberFormat="1" applyFont="1" applyFill="1" applyAlignment="1">
      <alignment/>
      <protection/>
    </xf>
    <xf numFmtId="164" fontId="4" fillId="0" borderId="0" xfId="1177" applyFont="1" applyFill="1" applyBorder="1" applyAlignment="1">
      <alignment horizontal="left"/>
      <protection/>
    </xf>
    <xf numFmtId="41" fontId="3" fillId="0" borderId="17" xfId="1177" applyNumberFormat="1" applyFont="1" applyFill="1" applyBorder="1" applyAlignment="1" applyProtection="1">
      <alignment/>
      <protection locked="0"/>
    </xf>
    <xf numFmtId="9" fontId="3" fillId="0" borderId="0" xfId="1177" applyNumberFormat="1" applyFont="1" applyFill="1" applyBorder="1" applyAlignment="1">
      <alignment/>
      <protection/>
    </xf>
    <xf numFmtId="167" fontId="3" fillId="0" borderId="0" xfId="1177" applyNumberFormat="1" applyFont="1" applyFill="1" applyAlignment="1">
      <alignment/>
      <protection/>
    </xf>
    <xf numFmtId="169" fontId="3" fillId="0" borderId="0" xfId="1177" applyNumberFormat="1" applyFont="1" applyFill="1" applyAlignment="1">
      <alignment/>
      <protection/>
    </xf>
    <xf numFmtId="37" fontId="3" fillId="0" borderId="0" xfId="1051" applyNumberFormat="1" applyFont="1" applyFill="1" applyBorder="1" applyAlignment="1">
      <alignment/>
    </xf>
    <xf numFmtId="0" fontId="4" fillId="0" borderId="0" xfId="1177" applyNumberFormat="1" applyFont="1" applyFill="1" applyBorder="1" applyAlignment="1">
      <alignment horizontal="left"/>
      <protection/>
    </xf>
    <xf numFmtId="164" fontId="3" fillId="0" borderId="0" xfId="1177" applyFont="1" applyFill="1" applyBorder="1">
      <alignment horizontal="left" wrapText="1"/>
      <protection/>
    </xf>
    <xf numFmtId="4" fontId="3" fillId="0" borderId="0" xfId="1051" applyFont="1" applyFill="1" applyAlignment="1">
      <alignment horizontal="center"/>
    </xf>
    <xf numFmtId="164" fontId="3" fillId="0" borderId="0" xfId="1177" applyFont="1" applyFill="1">
      <alignment horizontal="left" wrapText="1"/>
      <protection/>
    </xf>
    <xf numFmtId="41" fontId="3" fillId="0" borderId="0" xfId="1216" applyNumberFormat="1" applyFont="1" applyFill="1" applyBorder="1">
      <alignment/>
      <protection/>
    </xf>
    <xf numFmtId="0" fontId="3" fillId="0" borderId="0" xfId="1219" applyFont="1" applyFill="1" applyBorder="1" applyAlignment="1">
      <alignment horizontal="left"/>
      <protection/>
    </xf>
    <xf numFmtId="167" fontId="3" fillId="0" borderId="0" xfId="1177" applyNumberFormat="1" applyFont="1" applyFill="1" applyBorder="1">
      <alignment horizontal="left" wrapText="1"/>
      <protection/>
    </xf>
    <xf numFmtId="3" fontId="3" fillId="0" borderId="0" xfId="1051" applyNumberFormat="1" applyFont="1" applyFill="1" applyAlignment="1">
      <alignment wrapText="1"/>
    </xf>
    <xf numFmtId="164" fontId="10" fillId="0" borderId="0" xfId="1177" applyFont="1" applyFill="1" applyBorder="1" applyAlignment="1">
      <alignment horizontal="left"/>
      <protection/>
    </xf>
    <xf numFmtId="0" fontId="11" fillId="0" borderId="0" xfId="1177" applyNumberFormat="1" applyFont="1" applyFill="1" applyAlignment="1">
      <alignment/>
      <protection/>
    </xf>
    <xf numFmtId="0" fontId="3" fillId="0" borderId="0" xfId="1177" applyNumberFormat="1" applyFont="1" applyFill="1" applyAlignment="1" applyProtection="1">
      <alignment horizontal="left"/>
      <protection locked="0"/>
    </xf>
    <xf numFmtId="168" fontId="3" fillId="0" borderId="0" xfId="1081" applyNumberFormat="1" applyFont="1" applyFill="1" applyBorder="1" applyAlignment="1">
      <alignment/>
    </xf>
    <xf numFmtId="0" fontId="3" fillId="0" borderId="18" xfId="1177" applyNumberFormat="1" applyFont="1" applyFill="1" applyBorder="1" applyAlignment="1">
      <alignment/>
      <protection/>
    </xf>
    <xf numFmtId="167" fontId="3" fillId="0" borderId="17" xfId="1051" applyNumberFormat="1" applyFont="1" applyFill="1" applyBorder="1" applyAlignment="1">
      <alignment/>
    </xf>
    <xf numFmtId="167" fontId="7" fillId="0" borderId="0" xfId="1051" applyNumberFormat="1" applyFont="1" applyFill="1" applyBorder="1" applyAlignment="1">
      <alignment/>
    </xf>
    <xf numFmtId="168" fontId="3" fillId="0" borderId="0" xfId="1325" applyNumberFormat="1" applyFont="1" applyFill="1" applyBorder="1" applyAlignment="1">
      <alignment/>
      <protection/>
    </xf>
    <xf numFmtId="164" fontId="3" fillId="0" borderId="0" xfId="1325" applyNumberFormat="1" applyFont="1" applyFill="1" applyAlignment="1">
      <alignment horizontal="left"/>
      <protection/>
    </xf>
    <xf numFmtId="41" fontId="3" fillId="0" borderId="0" xfId="1177" applyNumberFormat="1" applyFont="1" applyFill="1" applyBorder="1" applyAlignment="1" applyProtection="1">
      <alignment horizontal="left"/>
      <protection locked="0"/>
    </xf>
    <xf numFmtId="41" fontId="3" fillId="0" borderId="0" xfId="1325" applyNumberFormat="1" applyFont="1" applyFill="1" applyBorder="1" applyAlignment="1" applyProtection="1">
      <alignment/>
      <protection locked="0"/>
    </xf>
    <xf numFmtId="41" fontId="3" fillId="0" borderId="17" xfId="1052" applyNumberFormat="1" applyFont="1" applyFill="1" applyBorder="1" applyAlignment="1">
      <alignment/>
    </xf>
    <xf numFmtId="164" fontId="3" fillId="0" borderId="0" xfId="1177" applyFont="1" applyAlignment="1">
      <alignment horizontal="left" indent="1"/>
      <protection/>
    </xf>
    <xf numFmtId="168" fontId="3" fillId="0" borderId="0" xfId="1177" applyNumberFormat="1" applyFont="1" applyFill="1" applyAlignment="1">
      <alignment/>
      <protection/>
    </xf>
    <xf numFmtId="171" fontId="3" fillId="0" borderId="0" xfId="1177" applyNumberFormat="1" applyFont="1" applyFill="1" applyBorder="1" applyAlignment="1">
      <alignment/>
      <protection/>
    </xf>
    <xf numFmtId="37" fontId="3" fillId="0" borderId="17" xfId="1051" applyNumberFormat="1" applyFont="1" applyFill="1" applyBorder="1" applyAlignment="1">
      <alignment/>
    </xf>
    <xf numFmtId="41" fontId="3" fillId="0" borderId="17" xfId="1177" applyNumberFormat="1" applyFont="1" applyFill="1" applyBorder="1" applyAlignment="1">
      <alignment horizontal="center"/>
      <protection/>
    </xf>
    <xf numFmtId="0" fontId="3" fillId="0" borderId="17" xfId="1177" applyNumberFormat="1" applyFont="1" applyFill="1" applyBorder="1" applyAlignment="1">
      <alignment horizontal="center"/>
      <protection/>
    </xf>
    <xf numFmtId="0" fontId="3" fillId="0" borderId="0" xfId="1216" applyFont="1" applyFill="1" applyAlignment="1">
      <alignment horizontal="left" indent="2"/>
      <protection/>
    </xf>
    <xf numFmtId="41" fontId="3" fillId="0" borderId="0" xfId="1052" applyNumberFormat="1" applyFont="1" applyFill="1" applyAlignment="1">
      <alignment/>
    </xf>
    <xf numFmtId="41" fontId="3" fillId="0" borderId="0" xfId="1052" applyNumberFormat="1" applyFont="1" applyFill="1" applyBorder="1" applyAlignment="1">
      <alignment/>
    </xf>
    <xf numFmtId="41" fontId="3" fillId="0" borderId="17" xfId="1051" applyNumberFormat="1" applyFont="1" applyFill="1" applyBorder="1" applyAlignment="1">
      <alignment/>
    </xf>
    <xf numFmtId="41" fontId="3" fillId="0" borderId="17" xfId="1216" applyNumberFormat="1" applyFont="1" applyFill="1" applyBorder="1">
      <alignment/>
      <protection/>
    </xf>
    <xf numFmtId="42" fontId="3" fillId="0" borderId="18" xfId="1081" applyNumberFormat="1" applyFont="1" applyFill="1" applyBorder="1" applyAlignment="1" applyProtection="1">
      <alignment/>
      <protection locked="0"/>
    </xf>
    <xf numFmtId="42" fontId="3" fillId="0" borderId="0" xfId="1051" applyNumberFormat="1" applyFont="1" applyFill="1" applyBorder="1" applyAlignment="1">
      <alignment/>
    </xf>
    <xf numFmtId="37" fontId="3" fillId="0" borderId="0" xfId="1178" applyNumberFormat="1" applyFont="1" applyFill="1" applyBorder="1" applyAlignment="1">
      <alignment horizontal="right"/>
      <protection/>
    </xf>
    <xf numFmtId="42" fontId="3" fillId="0" borderId="0" xfId="1051" applyNumberFormat="1" applyFont="1" applyFill="1" applyAlignment="1">
      <alignment/>
    </xf>
    <xf numFmtId="164" fontId="3" fillId="0" borderId="0" xfId="1177" applyNumberFormat="1" applyFont="1" applyFill="1" applyAlignment="1">
      <alignment horizontal="left" indent="1"/>
      <protection/>
    </xf>
    <xf numFmtId="167" fontId="7" fillId="0" borderId="0" xfId="1051" applyNumberFormat="1" applyFont="1" applyFill="1" applyAlignment="1">
      <alignment/>
    </xf>
    <xf numFmtId="164" fontId="3" fillId="0" borderId="0" xfId="1177" applyNumberFormat="1" applyFont="1" applyAlignment="1">
      <alignment horizontal="left" indent="1"/>
      <protection/>
    </xf>
    <xf numFmtId="42" fontId="3" fillId="0" borderId="0" xfId="1052" applyNumberFormat="1" applyFont="1" applyFill="1" applyBorder="1" applyAlignment="1">
      <alignment/>
    </xf>
    <xf numFmtId="0" fontId="6" fillId="0" borderId="0" xfId="1216" applyFont="1" applyBorder="1">
      <alignment/>
      <protection/>
    </xf>
    <xf numFmtId="0" fontId="6" fillId="0" borderId="0" xfId="1216" applyFont="1" applyFill="1">
      <alignment/>
      <protection/>
    </xf>
    <xf numFmtId="164" fontId="12" fillId="0" borderId="0" xfId="1177" applyNumberFormat="1" applyFont="1" applyFill="1" applyAlignment="1">
      <alignment horizontal="left"/>
      <protection/>
    </xf>
    <xf numFmtId="167" fontId="3" fillId="0" borderId="18" xfId="1051" applyNumberFormat="1" applyFont="1" applyFill="1" applyBorder="1" applyAlignment="1">
      <alignment/>
    </xf>
    <xf numFmtId="0" fontId="7" fillId="0" borderId="0" xfId="1177" applyNumberFormat="1" applyFont="1" applyFill="1" applyAlignment="1">
      <alignment horizontal="left" indent="1"/>
      <protection/>
    </xf>
    <xf numFmtId="0" fontId="6" fillId="0" borderId="0" xfId="1216" applyFont="1" applyFill="1" applyBorder="1">
      <alignment/>
      <protection/>
    </xf>
    <xf numFmtId="0" fontId="4" fillId="0" borderId="0" xfId="1219" applyFont="1" applyFill="1" applyBorder="1" applyAlignment="1">
      <alignment horizontal="left"/>
      <protection/>
    </xf>
    <xf numFmtId="164" fontId="3" fillId="0" borderId="0" xfId="1177" applyFont="1" applyFill="1" applyAlignment="1" quotePrefix="1">
      <alignment/>
      <protection/>
    </xf>
    <xf numFmtId="164" fontId="12" fillId="0" borderId="0" xfId="1177" applyNumberFormat="1" applyFont="1" applyAlignment="1">
      <alignment horizontal="left"/>
      <protection/>
    </xf>
    <xf numFmtId="0" fontId="6" fillId="0" borderId="0" xfId="1216" applyFont="1">
      <alignment/>
      <protection/>
    </xf>
    <xf numFmtId="0" fontId="6" fillId="0" borderId="0" xfId="1216">
      <alignment/>
      <protection/>
    </xf>
    <xf numFmtId="42" fontId="3" fillId="0" borderId="23" xfId="1216" applyNumberFormat="1" applyFont="1" applyFill="1" applyBorder="1">
      <alignment/>
      <protection/>
    </xf>
    <xf numFmtId="0" fontId="12" fillId="0" borderId="0" xfId="1177" applyNumberFormat="1" applyFont="1" applyFill="1" applyBorder="1" applyAlignment="1">
      <alignment horizontal="left"/>
      <protection/>
    </xf>
    <xf numFmtId="9" fontId="3" fillId="0" borderId="0" xfId="1241" applyFont="1" applyFill="1" applyBorder="1" applyAlignment="1" applyProtection="1">
      <alignment/>
      <protection locked="0"/>
    </xf>
    <xf numFmtId="42" fontId="3" fillId="0" borderId="0" xfId="1052" applyNumberFormat="1" applyFont="1" applyFill="1" applyAlignment="1">
      <alignment/>
    </xf>
    <xf numFmtId="171" fontId="3" fillId="0" borderId="17" xfId="1177" applyNumberFormat="1" applyFont="1" applyFill="1" applyBorder="1" applyAlignment="1" applyProtection="1">
      <alignment/>
      <protection locked="0"/>
    </xf>
    <xf numFmtId="42" fontId="13" fillId="0" borderId="18" xfId="1051" applyNumberFormat="1" applyFont="1" applyFill="1" applyBorder="1" applyAlignment="1">
      <alignment/>
    </xf>
    <xf numFmtId="42" fontId="13" fillId="0" borderId="18" xfId="1177" applyNumberFormat="1" applyFont="1" applyFill="1" applyBorder="1" applyAlignment="1">
      <alignment horizontal="right"/>
      <protection/>
    </xf>
    <xf numFmtId="41" fontId="3" fillId="0" borderId="18" xfId="1051" applyNumberFormat="1" applyFont="1" applyFill="1" applyBorder="1" applyAlignment="1">
      <alignment/>
    </xf>
    <xf numFmtId="44" fontId="3" fillId="0" borderId="0" xfId="1177" applyNumberFormat="1" applyFont="1" applyFill="1" applyAlignment="1">
      <alignment/>
      <protection/>
    </xf>
    <xf numFmtId="42" fontId="3" fillId="0" borderId="18" xfId="1052" applyNumberFormat="1" applyFont="1" applyFill="1" applyBorder="1" applyAlignment="1">
      <alignment/>
    </xf>
    <xf numFmtId="41" fontId="7" fillId="0" borderId="0" xfId="1081" applyNumberFormat="1" applyFont="1" applyFill="1" applyBorder="1" applyAlignment="1" applyProtection="1">
      <alignment/>
      <protection locked="0"/>
    </xf>
    <xf numFmtId="171" fontId="3" fillId="0" borderId="0" xfId="1177" applyNumberFormat="1" applyFont="1" applyFill="1" applyAlignment="1" applyProtection="1">
      <alignment/>
      <protection locked="0"/>
    </xf>
    <xf numFmtId="0" fontId="7" fillId="0" borderId="0" xfId="1177" applyNumberFormat="1" applyFont="1" applyFill="1" applyAlignment="1">
      <alignment horizontal="left" indent="2"/>
      <protection/>
    </xf>
    <xf numFmtId="42" fontId="7" fillId="0" borderId="18" xfId="1081" applyNumberFormat="1" applyFont="1" applyFill="1" applyBorder="1" applyAlignment="1" applyProtection="1">
      <alignment/>
      <protection locked="0"/>
    </xf>
    <xf numFmtId="41" fontId="3" fillId="0" borderId="18" xfId="1177" applyNumberFormat="1" applyFont="1" applyFill="1" applyBorder="1" applyAlignment="1" applyProtection="1">
      <alignment horizontal="right"/>
      <protection locked="0"/>
    </xf>
    <xf numFmtId="41" fontId="3" fillId="0" borderId="0" xfId="1051" applyNumberFormat="1" applyFont="1" applyFill="1" applyAlignment="1">
      <alignment horizontal="right"/>
    </xf>
    <xf numFmtId="1" fontId="3" fillId="0" borderId="0" xfId="1177" applyNumberFormat="1" applyFont="1" applyFill="1" applyAlignment="1">
      <alignment horizontal="left"/>
      <protection/>
    </xf>
    <xf numFmtId="42" fontId="3" fillId="0" borderId="17" xfId="1051" applyNumberFormat="1" applyFont="1" applyFill="1" applyBorder="1" applyAlignment="1">
      <alignment/>
    </xf>
    <xf numFmtId="164" fontId="3" fillId="0" borderId="0" xfId="1177" applyNumberFormat="1" applyFont="1" applyFill="1" applyAlignment="1">
      <alignment horizontal="left" indent="2"/>
      <protection/>
    </xf>
    <xf numFmtId="164" fontId="4" fillId="0" borderId="0" xfId="1177" applyFont="1" applyAlignment="1">
      <alignment horizontal="left"/>
      <protection/>
    </xf>
    <xf numFmtId="42" fontId="7" fillId="0" borderId="0" xfId="1081" applyNumberFormat="1" applyFont="1" applyFill="1" applyAlignment="1" applyProtection="1">
      <alignment/>
      <protection locked="0"/>
    </xf>
    <xf numFmtId="0" fontId="3" fillId="0" borderId="0" xfId="1216" applyFont="1" applyFill="1">
      <alignment/>
      <protection/>
    </xf>
    <xf numFmtId="41" fontId="3" fillId="0" borderId="0" xfId="1177" applyNumberFormat="1" applyFont="1" applyFill="1" applyAlignment="1" applyProtection="1">
      <alignment horizontal="right"/>
      <protection locked="0"/>
    </xf>
    <xf numFmtId="41" fontId="3" fillId="0" borderId="17" xfId="1051" applyNumberFormat="1" applyFont="1" applyFill="1" applyBorder="1" applyAlignment="1">
      <alignment/>
    </xf>
    <xf numFmtId="9" fontId="3" fillId="0" borderId="0" xfId="1241" applyFont="1" applyFill="1" applyAlignment="1">
      <alignment/>
    </xf>
    <xf numFmtId="37" fontId="3" fillId="0" borderId="0" xfId="1051" applyNumberFormat="1" applyFont="1" applyFill="1" applyAlignment="1">
      <alignment/>
    </xf>
    <xf numFmtId="42" fontId="3" fillId="0" borderId="18" xfId="1051" applyNumberFormat="1" applyFont="1" applyFill="1" applyBorder="1" applyAlignment="1">
      <alignment/>
    </xf>
    <xf numFmtId="3" fontId="3" fillId="0" borderId="18" xfId="1051" applyNumberFormat="1" applyFont="1" applyFill="1" applyBorder="1" applyAlignment="1">
      <alignment/>
    </xf>
    <xf numFmtId="168" fontId="7" fillId="0" borderId="0" xfId="1081" applyNumberFormat="1" applyFont="1" applyFill="1" applyBorder="1" applyAlignment="1">
      <alignment/>
    </xf>
    <xf numFmtId="0" fontId="14" fillId="0" borderId="0" xfId="1177" applyNumberFormat="1" applyFont="1" applyFill="1" applyAlignment="1">
      <alignment/>
      <protection/>
    </xf>
    <xf numFmtId="41" fontId="3" fillId="0" borderId="0" xfId="1051" applyNumberFormat="1" applyFont="1" applyFill="1" applyAlignment="1" applyProtection="1">
      <alignment horizontal="right"/>
      <protection locked="0"/>
    </xf>
    <xf numFmtId="42" fontId="3" fillId="0" borderId="16" xfId="1216" applyNumberFormat="1" applyFont="1" applyFill="1" applyBorder="1">
      <alignment/>
      <protection/>
    </xf>
    <xf numFmtId="164" fontId="3" fillId="0" borderId="0" xfId="1177" applyFont="1" applyAlignment="1">
      <alignment horizontal="left"/>
      <protection/>
    </xf>
    <xf numFmtId="9" fontId="3" fillId="0" borderId="0" xfId="1177" applyNumberFormat="1" applyFont="1" applyFill="1" applyAlignment="1">
      <alignment horizontal="right"/>
      <protection/>
    </xf>
    <xf numFmtId="171" fontId="3" fillId="0" borderId="0" xfId="1177" applyNumberFormat="1" applyFont="1" applyFill="1" applyAlignment="1" applyProtection="1">
      <alignment horizontal="center"/>
      <protection locked="0"/>
    </xf>
    <xf numFmtId="171" fontId="3" fillId="0" borderId="0" xfId="1177" applyNumberFormat="1" applyFont="1" applyFill="1" applyAlignment="1" applyProtection="1">
      <alignment horizontal="right"/>
      <protection locked="0"/>
    </xf>
    <xf numFmtId="0" fontId="15" fillId="0" borderId="0" xfId="1218" applyFont="1" applyFill="1">
      <alignment/>
      <protection/>
    </xf>
    <xf numFmtId="164" fontId="3" fillId="0" borderId="0" xfId="1177" applyFont="1" applyAlignment="1">
      <alignment horizontal="left" indent="2"/>
      <protection/>
    </xf>
    <xf numFmtId="41" fontId="3" fillId="0" borderId="0" xfId="1051" applyNumberFormat="1" applyFont="1" applyFill="1" applyBorder="1" applyAlignment="1">
      <alignment/>
    </xf>
    <xf numFmtId="168" fontId="7" fillId="0" borderId="23" xfId="1177" applyNumberFormat="1" applyFont="1" applyFill="1" applyBorder="1" applyAlignment="1">
      <alignment/>
      <protection/>
    </xf>
    <xf numFmtId="41" fontId="3" fillId="0" borderId="17" xfId="1051" applyNumberFormat="1" applyFont="1" applyFill="1" applyBorder="1" applyAlignment="1" applyProtection="1">
      <alignment/>
      <protection locked="0"/>
    </xf>
    <xf numFmtId="171" fontId="3" fillId="0" borderId="0" xfId="1177" applyNumberFormat="1" applyFont="1" applyFill="1" applyBorder="1" applyAlignment="1" applyProtection="1">
      <alignment horizontal="center"/>
      <protection locked="0"/>
    </xf>
    <xf numFmtId="37" fontId="3" fillId="0" borderId="18" xfId="1177" applyNumberFormat="1" applyFont="1" applyFill="1" applyBorder="1" applyAlignment="1">
      <alignment/>
      <protection/>
    </xf>
    <xf numFmtId="164" fontId="3" fillId="0" borderId="0" xfId="1177" applyNumberFormat="1" applyFont="1" applyAlignment="1">
      <alignment horizontal="left"/>
      <protection/>
    </xf>
    <xf numFmtId="37" fontId="3" fillId="0" borderId="0" xfId="1177" applyNumberFormat="1" applyFont="1" applyFill="1" applyBorder="1" applyAlignment="1">
      <alignment horizontal="left" indent="1"/>
      <protection/>
    </xf>
    <xf numFmtId="42" fontId="3" fillId="0" borderId="0" xfId="1177" applyNumberFormat="1" applyFont="1" applyFill="1" applyAlignment="1" applyProtection="1">
      <alignment horizontal="right"/>
      <protection locked="0"/>
    </xf>
    <xf numFmtId="42" fontId="3" fillId="0" borderId="0" xfId="1051" applyNumberFormat="1" applyFont="1" applyFill="1" applyAlignment="1" applyProtection="1">
      <alignment horizontal="right"/>
      <protection locked="0"/>
    </xf>
    <xf numFmtId="42" fontId="3" fillId="0" borderId="0" xfId="1177" applyNumberFormat="1" applyFont="1" applyFill="1" applyBorder="1" applyAlignment="1">
      <alignment horizontal="right"/>
      <protection/>
    </xf>
    <xf numFmtId="0" fontId="3" fillId="0" borderId="0" xfId="1177" applyNumberFormat="1" applyFont="1" applyFill="1" applyAlignment="1" quotePrefix="1">
      <alignment horizontal="left"/>
      <protection/>
    </xf>
    <xf numFmtId="164" fontId="3" fillId="0" borderId="0" xfId="1177" applyFont="1" applyFill="1" applyAlignment="1">
      <alignment horizontal="left" indent="2"/>
      <protection/>
    </xf>
    <xf numFmtId="164" fontId="3" fillId="0" borderId="0" xfId="1177" applyNumberFormat="1" applyFont="1" applyAlignment="1">
      <alignment horizontal="left" indent="2"/>
      <protection/>
    </xf>
    <xf numFmtId="3" fontId="3" fillId="0" borderId="0" xfId="1177" applyNumberFormat="1" applyFont="1" applyFill="1" applyBorder="1" applyAlignment="1" applyProtection="1">
      <alignment/>
      <protection locked="0"/>
    </xf>
    <xf numFmtId="0" fontId="3" fillId="0" borderId="18" xfId="1177" applyNumberFormat="1" applyFont="1" applyFill="1" applyBorder="1" applyAlignment="1" applyProtection="1">
      <alignment horizontal="left"/>
      <protection locked="0"/>
    </xf>
    <xf numFmtId="171" fontId="3" fillId="0" borderId="18" xfId="1177" applyNumberFormat="1" applyFont="1" applyFill="1" applyBorder="1" applyAlignment="1" applyProtection="1">
      <alignment horizontal="right"/>
      <protection locked="0"/>
    </xf>
    <xf numFmtId="168" fontId="3" fillId="0" borderId="0" xfId="1089" applyNumberFormat="1" applyFont="1" applyFill="1" applyBorder="1" applyAlignment="1">
      <alignment/>
    </xf>
    <xf numFmtId="164" fontId="4" fillId="0" borderId="0" xfId="1177" applyFont="1" applyFill="1" applyAlignment="1">
      <alignment horizontal="left"/>
      <protection/>
    </xf>
    <xf numFmtId="173" fontId="3" fillId="0" borderId="17" xfId="1081" applyNumberFormat="1" applyFont="1" applyFill="1" applyBorder="1" applyAlignment="1" applyProtection="1">
      <alignment/>
      <protection locked="0"/>
    </xf>
    <xf numFmtId="0" fontId="6" fillId="0" borderId="0" xfId="1216" applyFill="1">
      <alignment/>
      <protection/>
    </xf>
    <xf numFmtId="0" fontId="10" fillId="0" borderId="0" xfId="1177" applyNumberFormat="1" applyFont="1" applyFill="1" applyBorder="1" applyAlignment="1" applyProtection="1">
      <alignment horizontal="center"/>
      <protection locked="0"/>
    </xf>
    <xf numFmtId="0" fontId="10" fillId="0" borderId="0" xfId="1177" applyNumberFormat="1" applyFont="1" applyFill="1" applyBorder="1" applyAlignment="1" applyProtection="1">
      <alignment horizontal="left"/>
      <protection locked="0"/>
    </xf>
    <xf numFmtId="171" fontId="3" fillId="0" borderId="0" xfId="1177" applyNumberFormat="1" applyFont="1" applyFill="1" applyAlignment="1" applyProtection="1">
      <alignment horizontal="left"/>
      <protection locked="0"/>
    </xf>
    <xf numFmtId="164" fontId="10" fillId="0" borderId="0" xfId="1177" applyFont="1" applyFill="1" applyAlignment="1">
      <alignment horizontal="centerContinuous"/>
      <protection/>
    </xf>
    <xf numFmtId="0" fontId="3" fillId="0" borderId="0" xfId="1177" applyNumberFormat="1" applyFont="1" applyFill="1" applyAlignment="1" applyProtection="1">
      <alignment horizontal="fill"/>
      <protection locked="0"/>
    </xf>
    <xf numFmtId="0" fontId="3" fillId="0" borderId="0" xfId="1177" applyNumberFormat="1" applyFont="1" applyFill="1" applyAlignment="1">
      <alignment horizontal="fill"/>
      <protection/>
    </xf>
    <xf numFmtId="9" fontId="10" fillId="0" borderId="17" xfId="1177" applyNumberFormat="1" applyFont="1" applyFill="1" applyBorder="1" applyAlignment="1">
      <alignment horizontal="center"/>
      <protection/>
    </xf>
    <xf numFmtId="169" fontId="10" fillId="0" borderId="17" xfId="1177" applyNumberFormat="1" applyFont="1" applyFill="1" applyBorder="1" applyAlignment="1">
      <alignment horizontal="center"/>
      <protection/>
    </xf>
    <xf numFmtId="0" fontId="10" fillId="0" borderId="17" xfId="1177" applyNumberFormat="1" applyFont="1" applyFill="1" applyBorder="1" applyAlignment="1">
      <alignment horizontal="center"/>
      <protection/>
    </xf>
    <xf numFmtId="0" fontId="10" fillId="0" borderId="17" xfId="1177" applyNumberFormat="1" applyFont="1" applyFill="1" applyBorder="1" applyAlignment="1">
      <alignment/>
      <protection/>
    </xf>
    <xf numFmtId="164" fontId="10" fillId="0" borderId="17" xfId="1177" applyFont="1" applyFill="1" applyBorder="1" applyAlignment="1">
      <alignment horizontal="center"/>
      <protection/>
    </xf>
    <xf numFmtId="164" fontId="10" fillId="0" borderId="17" xfId="1177" applyFont="1" applyFill="1" applyBorder="1">
      <alignment horizontal="left" wrapText="1"/>
      <protection/>
    </xf>
    <xf numFmtId="0" fontId="10" fillId="0" borderId="17" xfId="1177" applyNumberFormat="1" applyFont="1" applyFill="1" applyBorder="1" applyAlignment="1" applyProtection="1">
      <alignment horizontal="center"/>
      <protection locked="0"/>
    </xf>
    <xf numFmtId="0" fontId="10" fillId="0" borderId="17" xfId="1177" applyNumberFormat="1" applyFont="1" applyFill="1" applyBorder="1" applyAlignment="1" quotePrefix="1">
      <alignment horizontal="center"/>
      <protection/>
    </xf>
    <xf numFmtId="171" fontId="10" fillId="0" borderId="17" xfId="1177" applyNumberFormat="1" applyFont="1" applyFill="1" applyBorder="1" applyAlignment="1">
      <alignment horizontal="center"/>
      <protection/>
    </xf>
    <xf numFmtId="0" fontId="10" fillId="0" borderId="17" xfId="1177" applyNumberFormat="1" applyFont="1" applyFill="1" applyBorder="1" applyAlignment="1" applyProtection="1">
      <alignment/>
      <protection locked="0"/>
    </xf>
    <xf numFmtId="0" fontId="10" fillId="0" borderId="17" xfId="1216" applyFont="1" applyFill="1" applyBorder="1" applyAlignment="1">
      <alignment horizontal="center"/>
      <protection/>
    </xf>
    <xf numFmtId="0" fontId="10" fillId="0" borderId="17" xfId="1216" applyFont="1" applyFill="1" applyBorder="1">
      <alignment/>
      <protection/>
    </xf>
    <xf numFmtId="0" fontId="10" fillId="0" borderId="0" xfId="1177" applyNumberFormat="1" applyFont="1" applyFill="1" applyAlignment="1">
      <alignment horizontal="center"/>
      <protection/>
    </xf>
    <xf numFmtId="0" fontId="10" fillId="0" borderId="0" xfId="1177" applyNumberFormat="1" applyFont="1" applyFill="1" applyAlignment="1">
      <alignment/>
      <protection/>
    </xf>
    <xf numFmtId="0" fontId="10" fillId="0" borderId="0" xfId="1177" applyNumberFormat="1" applyFont="1" applyFill="1" applyAlignment="1" applyProtection="1">
      <alignment horizontal="center"/>
      <protection locked="0"/>
    </xf>
    <xf numFmtId="164" fontId="10" fillId="0" borderId="0" xfId="1177" applyFont="1" applyFill="1" applyAlignment="1">
      <alignment horizontal="center"/>
      <protection/>
    </xf>
    <xf numFmtId="164" fontId="10" fillId="0" borderId="0" xfId="1177" applyFont="1" applyFill="1">
      <alignment horizontal="left" wrapText="1"/>
      <protection/>
    </xf>
    <xf numFmtId="164" fontId="10" fillId="0" borderId="0" xfId="1177" applyFont="1" applyFill="1" applyAlignment="1" applyProtection="1">
      <alignment horizontal="center"/>
      <protection locked="0"/>
    </xf>
    <xf numFmtId="171" fontId="10" fillId="0" borderId="0" xfId="1177" applyNumberFormat="1" applyFont="1" applyFill="1" applyAlignment="1">
      <alignment/>
      <protection/>
    </xf>
    <xf numFmtId="0" fontId="10" fillId="0" borderId="0" xfId="1177" applyNumberFormat="1" applyFont="1" applyFill="1" applyAlignment="1" applyProtection="1">
      <alignment/>
      <protection locked="0"/>
    </xf>
    <xf numFmtId="10" fontId="10" fillId="0" borderId="0" xfId="1177" applyNumberFormat="1" applyFont="1" applyFill="1" applyAlignment="1">
      <alignment horizontal="center"/>
      <protection/>
    </xf>
    <xf numFmtId="0" fontId="10" fillId="0" borderId="0" xfId="1216" applyFont="1" applyFill="1" applyAlignment="1">
      <alignment horizontal="center"/>
      <protection/>
    </xf>
    <xf numFmtId="0" fontId="10" fillId="0" borderId="0" xfId="1216" applyFont="1" applyFill="1">
      <alignment/>
      <protection/>
    </xf>
    <xf numFmtId="0" fontId="10" fillId="0" borderId="0" xfId="1216" applyFont="1" applyFill="1" applyAlignment="1" applyProtection="1">
      <alignment horizontal="center"/>
      <protection locked="0"/>
    </xf>
    <xf numFmtId="42" fontId="10" fillId="0" borderId="0" xfId="1177" applyNumberFormat="1" applyFont="1" applyFill="1" applyAlignment="1" applyProtection="1">
      <alignment horizontal="center"/>
      <protection locked="0"/>
    </xf>
    <xf numFmtId="0" fontId="10" fillId="0" borderId="0" xfId="1177" applyNumberFormat="1" applyFont="1" applyFill="1" applyAlignment="1">
      <alignment horizontal="centerContinuous"/>
      <protection/>
    </xf>
    <xf numFmtId="0" fontId="13" fillId="0" borderId="0" xfId="1177" applyNumberFormat="1" applyFont="1" applyFill="1" applyAlignment="1">
      <alignment horizontal="centerContinuous"/>
      <protection/>
    </xf>
    <xf numFmtId="0" fontId="10" fillId="0" borderId="0" xfId="1177" applyNumberFormat="1" applyFont="1" applyFill="1" applyBorder="1" applyAlignment="1">
      <alignment horizontal="center"/>
      <protection/>
    </xf>
    <xf numFmtId="164" fontId="11" fillId="0" borderId="0" xfId="1325" applyNumberFormat="1" applyFont="1" applyFill="1" applyAlignment="1">
      <alignment horizontal="left"/>
      <protection/>
    </xf>
    <xf numFmtId="164" fontId="11" fillId="0" borderId="0" xfId="1177" applyFont="1" applyFill="1" applyAlignment="1">
      <alignment horizontal="left"/>
      <protection/>
    </xf>
    <xf numFmtId="42" fontId="10" fillId="0" borderId="0" xfId="1177" applyNumberFormat="1" applyFont="1" applyFill="1" applyAlignment="1">
      <alignment/>
      <protection/>
    </xf>
    <xf numFmtId="18" fontId="10" fillId="0" borderId="0" xfId="1177" applyNumberFormat="1" applyFont="1" applyFill="1" applyAlignment="1">
      <alignment horizontal="centerContinuous"/>
      <protection/>
    </xf>
    <xf numFmtId="164" fontId="10" fillId="0" borderId="0" xfId="1177" applyFont="1" applyFill="1" applyAlignment="1" applyProtection="1">
      <alignment horizontal="centerContinuous" vertical="center"/>
      <protection locked="0"/>
    </xf>
    <xf numFmtId="164" fontId="10" fillId="0" borderId="0" xfId="1177" applyFont="1" applyFill="1" applyAlignment="1" applyProtection="1">
      <alignment horizontal="centerContinuous"/>
      <protection locked="0"/>
    </xf>
    <xf numFmtId="0" fontId="10" fillId="0" borderId="0" xfId="1177" applyNumberFormat="1" applyFont="1" applyFill="1" applyAlignment="1" applyProtection="1">
      <alignment horizontal="centerContinuous"/>
      <protection locked="0"/>
    </xf>
    <xf numFmtId="0" fontId="10" fillId="0" borderId="0" xfId="1177" applyNumberFormat="1" applyFont="1" applyFill="1" applyAlignment="1">
      <alignment horizontal="centerContinuous" vertical="center"/>
      <protection/>
    </xf>
    <xf numFmtId="164" fontId="10" fillId="0" borderId="0" xfId="1177" applyFont="1" applyFill="1" applyAlignment="1">
      <alignment horizontal="centerContinuous" wrapText="1"/>
      <protection/>
    </xf>
    <xf numFmtId="0" fontId="1" fillId="0" borderId="0" xfId="1177" applyNumberFormat="1" applyFill="1" applyAlignment="1">
      <alignment/>
      <protection/>
    </xf>
    <xf numFmtId="15" fontId="10" fillId="0" borderId="0" xfId="1177" applyNumberFormat="1" applyFont="1" applyFill="1" applyAlignment="1">
      <alignment horizontal="centerContinuous"/>
      <protection/>
    </xf>
    <xf numFmtId="164" fontId="13" fillId="0" borderId="0" xfId="1177" applyFont="1" applyFill="1" applyAlignment="1">
      <alignment horizontal="centerContinuous"/>
      <protection/>
    </xf>
    <xf numFmtId="164" fontId="16" fillId="0" borderId="0" xfId="1177" applyFont="1" applyFill="1" applyAlignment="1">
      <alignment horizontal="centerContinuous"/>
      <protection/>
    </xf>
    <xf numFmtId="164" fontId="17" fillId="0" borderId="0" xfId="1177" applyFont="1" applyFill="1" applyAlignment="1">
      <alignment horizontal="centerContinuous"/>
      <protection/>
    </xf>
    <xf numFmtId="174" fontId="10" fillId="0" borderId="0" xfId="1177" applyNumberFormat="1" applyFont="1" applyFill="1" applyBorder="1" applyAlignment="1" quotePrefix="1">
      <alignment horizontal="right"/>
      <protection/>
    </xf>
    <xf numFmtId="0" fontId="10" fillId="0" borderId="0" xfId="1177" applyNumberFormat="1" applyFont="1" applyFill="1" applyAlignment="1">
      <alignment horizontal="right"/>
      <protection/>
    </xf>
    <xf numFmtId="0" fontId="10" fillId="0" borderId="0" xfId="1177" applyNumberFormat="1" applyFont="1" applyFill="1" applyBorder="1" applyAlignment="1">
      <alignment horizontal="right"/>
      <protection/>
    </xf>
    <xf numFmtId="174" fontId="10" fillId="0" borderId="0" xfId="1177" applyNumberFormat="1" applyFont="1" applyFill="1" applyBorder="1" applyAlignment="1">
      <alignment/>
      <protection/>
    </xf>
    <xf numFmtId="2" fontId="3" fillId="0" borderId="0" xfId="1177" applyNumberFormat="1" applyFont="1" applyFill="1" applyAlignment="1">
      <alignment/>
      <protection/>
    </xf>
    <xf numFmtId="0" fontId="6" fillId="0" borderId="0" xfId="1215">
      <alignment/>
      <protection/>
    </xf>
    <xf numFmtId="44" fontId="6" fillId="0" borderId="0" xfId="1215" applyNumberFormat="1">
      <alignment/>
      <protection/>
    </xf>
    <xf numFmtId="168" fontId="6" fillId="0" borderId="0" xfId="1215" applyNumberFormat="1">
      <alignment/>
      <protection/>
    </xf>
    <xf numFmtId="167" fontId="6" fillId="0" borderId="0" xfId="1215" applyNumberFormat="1">
      <alignment/>
      <protection/>
    </xf>
    <xf numFmtId="0" fontId="6" fillId="0" borderId="0" xfId="1215" applyAlignment="1">
      <alignment horizontal="left"/>
      <protection/>
    </xf>
    <xf numFmtId="0" fontId="43" fillId="0" borderId="0" xfId="1217" applyFont="1" applyFill="1" applyAlignment="1" applyProtection="1">
      <alignment/>
      <protection locked="0"/>
    </xf>
    <xf numFmtId="0" fontId="6" fillId="0" borderId="0" xfId="1215" applyFill="1" applyBorder="1" applyAlignment="1">
      <alignment horizontal="center"/>
      <protection/>
    </xf>
    <xf numFmtId="0" fontId="6" fillId="0" borderId="23" xfId="1215" applyBorder="1">
      <alignment/>
      <protection/>
    </xf>
    <xf numFmtId="0" fontId="6" fillId="0" borderId="23" xfId="1215" applyBorder="1" applyAlignment="1">
      <alignment horizontal="center"/>
      <protection/>
    </xf>
    <xf numFmtId="0" fontId="6" fillId="0" borderId="0" xfId="1215" applyFont="1" applyBorder="1">
      <alignment/>
      <protection/>
    </xf>
    <xf numFmtId="0" fontId="6" fillId="0" borderId="0" xfId="1215" applyFont="1">
      <alignment/>
      <protection/>
    </xf>
    <xf numFmtId="0" fontId="43" fillId="0" borderId="0" xfId="1215" applyFont="1">
      <alignment/>
      <protection/>
    </xf>
    <xf numFmtId="0" fontId="6" fillId="0" borderId="0" xfId="1215" applyAlignment="1">
      <alignment horizontal="center"/>
      <protection/>
    </xf>
    <xf numFmtId="0" fontId="6" fillId="0" borderId="0" xfId="1215" applyAlignment="1">
      <alignment horizontal="left" indent="1"/>
      <protection/>
    </xf>
    <xf numFmtId="167" fontId="6" fillId="0" borderId="0" xfId="1060" applyNumberFormat="1" applyFont="1" applyAlignment="1">
      <alignment/>
    </xf>
    <xf numFmtId="0" fontId="6" fillId="0" borderId="0" xfId="1215" applyAlignment="1">
      <alignment horizontal="left" indent="2"/>
      <protection/>
    </xf>
    <xf numFmtId="168" fontId="6" fillId="0" borderId="0" xfId="1088" applyNumberFormat="1" applyFont="1" applyBorder="1" applyAlignment="1">
      <alignment/>
    </xf>
    <xf numFmtId="0" fontId="43" fillId="0" borderId="0" xfId="1215" applyFont="1" applyAlignment="1">
      <alignment horizontal="left"/>
      <protection/>
    </xf>
    <xf numFmtId="0" fontId="6" fillId="0" borderId="0" xfId="1215" applyFont="1" applyAlignment="1">
      <alignment horizontal="left" indent="1"/>
      <protection/>
    </xf>
    <xf numFmtId="3" fontId="6" fillId="0" borderId="0" xfId="1051" applyNumberFormat="1" applyFont="1" applyBorder="1" applyAlignment="1">
      <alignment/>
    </xf>
    <xf numFmtId="0" fontId="6" fillId="0" borderId="0" xfId="1215" applyNumberFormat="1" applyAlignment="1">
      <alignment horizontal="left" indent="1"/>
      <protection/>
    </xf>
    <xf numFmtId="168" fontId="6" fillId="0" borderId="0" xfId="1088" applyNumberFormat="1" applyFont="1" applyBorder="1" applyAlignment="1">
      <alignment horizontal="right"/>
    </xf>
    <xf numFmtId="167" fontId="6" fillId="0" borderId="0" xfId="1215" applyNumberFormat="1" applyFont="1">
      <alignment/>
      <protection/>
    </xf>
    <xf numFmtId="42" fontId="6" fillId="0" borderId="0" xfId="1215" applyNumberFormat="1" applyFont="1">
      <alignment/>
      <protection/>
    </xf>
    <xf numFmtId="167" fontId="6" fillId="0" borderId="0" xfId="1060" applyNumberFormat="1" applyFont="1" applyBorder="1" applyAlignment="1">
      <alignment/>
    </xf>
    <xf numFmtId="0" fontId="6" fillId="0" borderId="0" xfId="1215" applyFont="1" applyBorder="1" applyAlignment="1">
      <alignment horizontal="centerContinuous"/>
      <protection/>
    </xf>
    <xf numFmtId="0" fontId="6" fillId="0" borderId="0" xfId="1215" applyFont="1" applyAlignment="1">
      <alignment horizontal="centerContinuous"/>
      <protection/>
    </xf>
    <xf numFmtId="0" fontId="6" fillId="0" borderId="0" xfId="1215" applyFont="1" applyFill="1" applyAlignment="1">
      <alignment horizontal="centerContinuous"/>
      <protection/>
    </xf>
    <xf numFmtId="0" fontId="6" fillId="0" borderId="0" xfId="1215" applyAlignment="1">
      <alignment horizontal="centerContinuous"/>
      <protection/>
    </xf>
    <xf numFmtId="0" fontId="52" fillId="0" borderId="0" xfId="1215" applyFont="1" applyAlignment="1">
      <alignment horizontal="centerContinuous"/>
      <protection/>
    </xf>
    <xf numFmtId="0" fontId="6" fillId="0" borderId="0" xfId="1215" applyFont="1" applyFill="1" applyBorder="1" applyAlignment="1">
      <alignment horizontal="centerContinuous"/>
      <protection/>
    </xf>
    <xf numFmtId="4" fontId="6" fillId="0" borderId="0" xfId="1051" applyFont="1" applyFill="1" applyBorder="1" applyAlignment="1">
      <alignment horizontal="centerContinuous"/>
    </xf>
    <xf numFmtId="3" fontId="6" fillId="0" borderId="0" xfId="1051" applyNumberFormat="1" applyFont="1" applyFill="1" applyBorder="1" applyAlignment="1">
      <alignment horizontal="centerContinuous"/>
    </xf>
    <xf numFmtId="0" fontId="52" fillId="0" borderId="0" xfId="1215" applyFont="1" applyFill="1" applyBorder="1" applyAlignment="1">
      <alignment horizontal="centerContinuous"/>
      <protection/>
    </xf>
    <xf numFmtId="41" fontId="6" fillId="0" borderId="16" xfId="1215" applyNumberFormat="1" applyFont="1" applyBorder="1">
      <alignment/>
      <protection/>
    </xf>
    <xf numFmtId="168" fontId="6" fillId="0" borderId="23" xfId="1215" applyNumberFormat="1" applyFont="1" applyBorder="1">
      <alignment/>
      <protection/>
    </xf>
    <xf numFmtId="168" fontId="6" fillId="0" borderId="16" xfId="1215" applyNumberFormat="1" applyFont="1" applyBorder="1">
      <alignment/>
      <protection/>
    </xf>
    <xf numFmtId="168" fontId="6" fillId="0" borderId="16" xfId="1215" applyNumberFormat="1" applyFont="1" applyFill="1" applyBorder="1">
      <alignment/>
      <protection/>
    </xf>
    <xf numFmtId="168" fontId="6" fillId="0" borderId="0" xfId="1215" applyNumberFormat="1" applyFont="1" applyBorder="1">
      <alignment/>
      <protection/>
    </xf>
    <xf numFmtId="168" fontId="6" fillId="0" borderId="23" xfId="1215" applyNumberFormat="1" applyFont="1" applyFill="1" applyBorder="1">
      <alignment/>
      <protection/>
    </xf>
    <xf numFmtId="0" fontId="6" fillId="0" borderId="18" xfId="1215" applyFont="1" applyBorder="1">
      <alignment/>
      <protection/>
    </xf>
    <xf numFmtId="0" fontId="6" fillId="0" borderId="18" xfId="1215" applyFont="1" applyFill="1" applyBorder="1">
      <alignment/>
      <protection/>
    </xf>
    <xf numFmtId="167" fontId="6" fillId="0" borderId="17" xfId="1060" applyNumberFormat="1" applyFont="1" applyFill="1" applyBorder="1" applyAlignment="1">
      <alignment/>
    </xf>
    <xf numFmtId="167" fontId="6" fillId="0" borderId="0" xfId="1060" applyNumberFormat="1" applyFont="1" applyFill="1" applyAlignment="1">
      <alignment/>
    </xf>
    <xf numFmtId="167" fontId="6" fillId="0" borderId="0" xfId="1060" applyNumberFormat="1" applyFont="1" applyFill="1" applyBorder="1" applyAlignment="1">
      <alignment/>
    </xf>
    <xf numFmtId="0" fontId="6" fillId="0" borderId="0" xfId="1215" applyFont="1" applyFill="1">
      <alignment/>
      <protection/>
    </xf>
    <xf numFmtId="167" fontId="6" fillId="0" borderId="4" xfId="1215" applyNumberFormat="1" applyFont="1" applyFill="1" applyBorder="1">
      <alignment/>
      <protection/>
    </xf>
    <xf numFmtId="167" fontId="6" fillId="0" borderId="0" xfId="1215" applyNumberFormat="1" applyFont="1" applyBorder="1">
      <alignment/>
      <protection/>
    </xf>
    <xf numFmtId="167" fontId="6" fillId="0" borderId="4" xfId="1215" applyNumberFormat="1" applyFont="1" applyBorder="1">
      <alignment/>
      <protection/>
    </xf>
    <xf numFmtId="0" fontId="6" fillId="0" borderId="0" xfId="1215" applyBorder="1">
      <alignment/>
      <protection/>
    </xf>
    <xf numFmtId="3" fontId="6" fillId="0" borderId="0" xfId="1051" applyNumberFormat="1" applyFont="1" applyFill="1" applyBorder="1" applyAlignment="1">
      <alignment/>
    </xf>
    <xf numFmtId="43" fontId="6" fillId="0" borderId="0" xfId="1215" applyNumberFormat="1" applyBorder="1">
      <alignment/>
      <protection/>
    </xf>
    <xf numFmtId="0" fontId="6" fillId="0" borderId="0" xfId="1215" applyBorder="1" applyAlignment="1">
      <alignment horizontal="center"/>
      <protection/>
    </xf>
    <xf numFmtId="42" fontId="6" fillId="0" borderId="0" xfId="1215" applyNumberFormat="1" applyBorder="1">
      <alignment/>
      <protection/>
    </xf>
    <xf numFmtId="4" fontId="6" fillId="0" borderId="0" xfId="1051" applyFont="1" applyBorder="1" applyAlignment="1">
      <alignment/>
    </xf>
    <xf numFmtId="167" fontId="6" fillId="0" borderId="0" xfId="1060" applyNumberFormat="1" applyFill="1" applyBorder="1" applyAlignment="1">
      <alignment/>
    </xf>
    <xf numFmtId="167" fontId="6" fillId="0" borderId="18" xfId="1060" applyNumberFormat="1" applyFont="1" applyFill="1" applyBorder="1" applyAlignment="1">
      <alignment/>
    </xf>
    <xf numFmtId="167" fontId="6" fillId="0" borderId="18" xfId="1060" applyNumberFormat="1" applyFont="1" applyBorder="1" applyAlignment="1">
      <alignment/>
    </xf>
    <xf numFmtId="0" fontId="6" fillId="0" borderId="0" xfId="1215" applyFill="1">
      <alignment/>
      <protection/>
    </xf>
    <xf numFmtId="0" fontId="6" fillId="0" borderId="0" xfId="1215" applyFont="1" applyFill="1" applyBorder="1" applyAlignment="1">
      <alignment horizontal="left"/>
      <protection/>
    </xf>
    <xf numFmtId="0" fontId="6" fillId="0" borderId="0" xfId="1215" applyFont="1" applyFill="1" applyBorder="1" applyAlignment="1">
      <alignment horizontal="center"/>
      <protection/>
    </xf>
    <xf numFmtId="168" fontId="6" fillId="0" borderId="0" xfId="1215" applyNumberFormat="1" applyFont="1">
      <alignment/>
      <protection/>
    </xf>
    <xf numFmtId="168" fontId="6" fillId="0" borderId="0" xfId="1088" applyNumberFormat="1" applyFont="1" applyFill="1" applyAlignment="1">
      <alignment/>
    </xf>
    <xf numFmtId="168" fontId="6" fillId="0" borderId="0" xfId="1088" applyNumberFormat="1" applyFont="1" applyAlignment="1">
      <alignment/>
    </xf>
    <xf numFmtId="0" fontId="61" fillId="0" borderId="0" xfId="1215" applyFont="1">
      <alignment/>
      <protection/>
    </xf>
    <xf numFmtId="0" fontId="6" fillId="0" borderId="0" xfId="1215" applyFont="1" applyAlignment="1">
      <alignment horizontal="center"/>
      <protection/>
    </xf>
    <xf numFmtId="0" fontId="6" fillId="0" borderId="0" xfId="1215" applyFill="1" applyAlignment="1">
      <alignment horizontal="center"/>
      <protection/>
    </xf>
    <xf numFmtId="190" fontId="61" fillId="0" borderId="17" xfId="1215" applyNumberFormat="1" applyFont="1" applyBorder="1" applyAlignment="1">
      <alignment horizontal="center"/>
      <protection/>
    </xf>
    <xf numFmtId="0" fontId="6" fillId="0" borderId="17" xfId="1215" applyBorder="1" applyAlignment="1">
      <alignment horizontal="center"/>
      <protection/>
    </xf>
    <xf numFmtId="14" fontId="6" fillId="0" borderId="17" xfId="1215" applyNumberFormat="1" applyFill="1" applyBorder="1" applyAlignment="1">
      <alignment horizontal="center"/>
      <protection/>
    </xf>
    <xf numFmtId="14" fontId="6" fillId="0" borderId="24" xfId="1215" applyNumberFormat="1" applyBorder="1" applyAlignment="1">
      <alignment horizontal="center"/>
      <protection/>
    </xf>
    <xf numFmtId="14" fontId="6" fillId="0" borderId="17" xfId="1215" applyNumberFormat="1" applyBorder="1" applyAlignment="1">
      <alignment horizontal="center"/>
      <protection/>
    </xf>
    <xf numFmtId="0" fontId="6" fillId="0" borderId="17" xfId="1215" applyBorder="1">
      <alignment/>
      <protection/>
    </xf>
    <xf numFmtId="0" fontId="6" fillId="0" borderId="25" xfId="1215" applyBorder="1" applyAlignment="1">
      <alignment horizontal="center"/>
      <protection/>
    </xf>
    <xf numFmtId="0" fontId="6" fillId="0" borderId="0" xfId="1215" applyAlignment="1">
      <alignment horizontal="centerContinuous" vertical="center"/>
      <protection/>
    </xf>
    <xf numFmtId="0" fontId="6" fillId="0" borderId="26" xfId="1215" applyBorder="1" applyAlignment="1">
      <alignment horizontal="center"/>
      <protection/>
    </xf>
    <xf numFmtId="0" fontId="6" fillId="0" borderId="8" xfId="1215" applyBorder="1" applyAlignment="1">
      <alignment horizontal="center"/>
      <protection/>
    </xf>
    <xf numFmtId="0" fontId="6" fillId="0" borderId="27" xfId="1215" applyBorder="1" applyAlignment="1">
      <alignment horizontal="centerContinuous" vertical="center" wrapText="1"/>
      <protection/>
    </xf>
    <xf numFmtId="0" fontId="67" fillId="0" borderId="28" xfId="1215" applyFont="1" applyBorder="1" applyAlignment="1">
      <alignment horizontal="centerContinuous" wrapText="1"/>
      <protection/>
    </xf>
    <xf numFmtId="0" fontId="6" fillId="0" borderId="27" xfId="1215" applyBorder="1" applyAlignment="1">
      <alignment horizontal="centerContinuous" vertical="center"/>
      <protection/>
    </xf>
    <xf numFmtId="0" fontId="6" fillId="0" borderId="4" xfId="1215" applyBorder="1" applyAlignment="1">
      <alignment horizontal="centerContinuous" vertical="center"/>
      <protection/>
    </xf>
    <xf numFmtId="0" fontId="6" fillId="0" borderId="28" xfId="1215" applyBorder="1" applyAlignment="1">
      <alignment horizontal="centerContinuous" vertical="center"/>
      <protection/>
    </xf>
    <xf numFmtId="0" fontId="43" fillId="0" borderId="0" xfId="1215" applyFont="1" applyAlignment="1">
      <alignment horizontal="centerContinuous"/>
      <protection/>
    </xf>
    <xf numFmtId="174" fontId="10" fillId="0" borderId="0" xfId="1177" applyNumberFormat="1" applyFont="1" applyFill="1" applyBorder="1" applyAlignment="1">
      <alignment horizontal="right"/>
      <protection/>
    </xf>
    <xf numFmtId="0" fontId="68" fillId="0" borderId="0" xfId="1215" applyFont="1">
      <alignment/>
      <protection/>
    </xf>
    <xf numFmtId="0" fontId="3" fillId="0" borderId="4" xfId="1177" applyNumberFormat="1" applyFont="1" applyFill="1" applyBorder="1" applyAlignment="1">
      <alignment/>
      <protection/>
    </xf>
    <xf numFmtId="168" fontId="3" fillId="0" borderId="4" xfId="1177" applyNumberFormat="1" applyFont="1" applyFill="1" applyBorder="1" applyAlignment="1">
      <alignment/>
      <protection/>
    </xf>
    <xf numFmtId="42" fontId="3" fillId="0" borderId="4" xfId="1177" applyNumberFormat="1" applyFont="1" applyFill="1" applyBorder="1" applyAlignment="1">
      <alignment/>
      <protection/>
    </xf>
    <xf numFmtId="0" fontId="3" fillId="0" borderId="4" xfId="1177" applyNumberFormat="1" applyFont="1" applyFill="1" applyBorder="1" applyAlignment="1" applyProtection="1">
      <alignment/>
      <protection locked="0"/>
    </xf>
    <xf numFmtId="0" fontId="10" fillId="0" borderId="0" xfId="1177" applyNumberFormat="1" applyFont="1" applyFill="1" applyBorder="1" applyAlignment="1">
      <alignment/>
      <protection/>
    </xf>
    <xf numFmtId="15" fontId="10" fillId="0" borderId="0" xfId="1177" applyNumberFormat="1" applyFont="1" applyFill="1" applyBorder="1" applyAlignment="1">
      <alignment/>
      <protection/>
    </xf>
    <xf numFmtId="0" fontId="6" fillId="0" borderId="0" xfId="1216" applyFill="1" applyBorder="1">
      <alignment/>
      <protection/>
    </xf>
    <xf numFmtId="2" fontId="10" fillId="0" borderId="0" xfId="1177" applyNumberFormat="1" applyFont="1" applyFill="1" applyBorder="1" applyAlignment="1">
      <alignment/>
      <protection/>
    </xf>
    <xf numFmtId="164" fontId="10" fillId="0" borderId="0" xfId="1177" applyFont="1" applyFill="1" applyBorder="1" applyAlignment="1">
      <alignment horizontal="right"/>
      <protection/>
    </xf>
    <xf numFmtId="0" fontId="1" fillId="0" borderId="0" xfId="1177" applyNumberFormat="1" applyFill="1" applyBorder="1" applyAlignment="1">
      <alignment/>
      <protection/>
    </xf>
    <xf numFmtId="174" fontId="10" fillId="0" borderId="0" xfId="1177" applyNumberFormat="1" applyFont="1" applyFill="1" applyAlignment="1">
      <alignment horizontal="right"/>
      <protection/>
    </xf>
    <xf numFmtId="2" fontId="10" fillId="0" borderId="0" xfId="1177" applyNumberFormat="1" applyFont="1" applyFill="1" applyBorder="1" applyAlignment="1">
      <alignment horizontal="right"/>
      <protection/>
    </xf>
    <xf numFmtId="2" fontId="10" fillId="0" borderId="0" xfId="1177" applyNumberFormat="1" applyFont="1" applyFill="1" applyAlignment="1">
      <alignment horizontal="right"/>
      <protection/>
    </xf>
    <xf numFmtId="2" fontId="10" fillId="0" borderId="0" xfId="1177" applyNumberFormat="1" applyFont="1" applyFill="1" applyBorder="1" applyAlignment="1">
      <alignment horizontal="right" wrapText="1"/>
      <protection/>
    </xf>
    <xf numFmtId="190" fontId="6" fillId="0" borderId="0" xfId="1215" applyNumberFormat="1" applyBorder="1" applyAlignment="1">
      <alignment horizontal="center"/>
      <protection/>
    </xf>
    <xf numFmtId="167" fontId="6" fillId="0" borderId="0" xfId="1060" applyNumberFormat="1" applyBorder="1" applyAlignment="1">
      <alignment/>
    </xf>
    <xf numFmtId="0" fontId="6" fillId="0" borderId="0" xfId="1215" applyFill="1" applyBorder="1">
      <alignment/>
      <protection/>
    </xf>
    <xf numFmtId="167" fontId="6" fillId="0" borderId="0" xfId="1215" applyNumberFormat="1" applyBorder="1">
      <alignment/>
      <protection/>
    </xf>
    <xf numFmtId="3" fontId="6" fillId="0" borderId="0" xfId="1215" applyNumberFormat="1" applyBorder="1">
      <alignment/>
      <protection/>
    </xf>
    <xf numFmtId="168" fontId="6" fillId="0" borderId="0" xfId="1215" applyNumberFormat="1" applyBorder="1">
      <alignment/>
      <protection/>
    </xf>
    <xf numFmtId="189" fontId="6" fillId="0" borderId="0" xfId="1215" applyNumberFormat="1" applyBorder="1">
      <alignment/>
      <protection/>
    </xf>
    <xf numFmtId="44" fontId="6" fillId="0" borderId="0" xfId="1215" applyNumberFormat="1" applyBorder="1">
      <alignment/>
      <protection/>
    </xf>
    <xf numFmtId="41" fontId="6" fillId="0" borderId="0" xfId="1215" applyNumberFormat="1" applyBorder="1">
      <alignment/>
      <protection/>
    </xf>
    <xf numFmtId="41" fontId="6" fillId="0" borderId="0" xfId="1215" applyNumberFormat="1" applyFont="1" applyBorder="1">
      <alignment/>
      <protection/>
    </xf>
    <xf numFmtId="41" fontId="6" fillId="0" borderId="0" xfId="1051" applyNumberFormat="1" applyFont="1" applyBorder="1" applyAlignment="1">
      <alignment/>
    </xf>
    <xf numFmtId="41" fontId="66" fillId="0" borderId="0" xfId="1215" applyNumberFormat="1" applyFont="1" applyBorder="1">
      <alignment/>
      <protection/>
    </xf>
    <xf numFmtId="0" fontId="43" fillId="0" borderId="0" xfId="1217" applyFont="1" applyFill="1" applyBorder="1" applyAlignment="1" applyProtection="1">
      <alignment/>
      <protection locked="0"/>
    </xf>
    <xf numFmtId="0" fontId="43" fillId="0" borderId="0" xfId="1215" applyFont="1" applyAlignment="1">
      <alignment horizontal="right"/>
      <protection/>
    </xf>
    <xf numFmtId="41" fontId="3" fillId="0" borderId="0" xfId="1051" applyNumberFormat="1" applyFont="1" applyFill="1" applyAlignment="1">
      <alignment/>
    </xf>
    <xf numFmtId="41" fontId="3" fillId="0" borderId="0" xfId="1178" applyNumberFormat="1" applyFont="1" applyFill="1" applyBorder="1" applyAlignment="1">
      <alignment horizontal="right"/>
      <protection/>
    </xf>
    <xf numFmtId="42" fontId="3" fillId="0" borderId="18" xfId="1216" applyNumberFormat="1" applyFont="1" applyFill="1" applyBorder="1">
      <alignment/>
      <protection/>
    </xf>
    <xf numFmtId="168" fontId="3" fillId="0" borderId="18" xfId="1177" applyNumberFormat="1" applyFont="1" applyFill="1" applyBorder="1">
      <alignment horizontal="left" wrapText="1"/>
      <protection/>
    </xf>
  </cellXfs>
  <cellStyles count="1332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3" xfId="1053"/>
    <cellStyle name="Comma 3 2" xfId="1054"/>
    <cellStyle name="Comma 4 2" xfId="1055"/>
    <cellStyle name="Comma 6 2" xfId="1056"/>
    <cellStyle name="Comma 7" xfId="1057"/>
    <cellStyle name="Comma 8" xfId="1058"/>
    <cellStyle name="Comma 9" xfId="1059"/>
    <cellStyle name="Comma_2.03E Power Costs 60 w-yrs DRAFT 02.13.04" xfId="1060"/>
    <cellStyle name="Comma0" xfId="1061"/>
    <cellStyle name="Comma0 - Style2" xfId="1062"/>
    <cellStyle name="Comma0 - Style4" xfId="1063"/>
    <cellStyle name="Comma0 - Style5" xfId="1064"/>
    <cellStyle name="Comma0 2" xfId="1065"/>
    <cellStyle name="Comma0 3" xfId="1066"/>
    <cellStyle name="Comma0 4" xfId="1067"/>
    <cellStyle name="Comma0_00COS Ind Allocators" xfId="1068"/>
    <cellStyle name="Comma1 - Style1" xfId="1069"/>
    <cellStyle name="Copied" xfId="1070"/>
    <cellStyle name="COST1" xfId="1071"/>
    <cellStyle name="Curren - Style1" xfId="1072"/>
    <cellStyle name="Curren - Style2" xfId="1073"/>
    <cellStyle name="Curren - Style5" xfId="1074"/>
    <cellStyle name="Curren - Style6" xfId="1075"/>
    <cellStyle name="Currency" xfId="1076"/>
    <cellStyle name="Currency [0]" xfId="1077"/>
    <cellStyle name="Currency 10" xfId="1078"/>
    <cellStyle name="Currency 11" xfId="1079"/>
    <cellStyle name="Currency 12" xfId="1080"/>
    <cellStyle name="Currency 2" xfId="1081"/>
    <cellStyle name="Currency 2 2" xfId="1082"/>
    <cellStyle name="Currency 3" xfId="1083"/>
    <cellStyle name="Currency 4 2" xfId="1084"/>
    <cellStyle name="Currency 7" xfId="1085"/>
    <cellStyle name="Currency 8" xfId="1086"/>
    <cellStyle name="Currency 9" xfId="1087"/>
    <cellStyle name="Currency_2.03E Power Costs 60 w-yrs DRAFT 02.13.04" xfId="1088"/>
    <cellStyle name="Currency_2.26E Regulatory Assets &amp; Liabilities" xfId="1089"/>
    <cellStyle name="Currency0" xfId="1090"/>
    <cellStyle name="Currency0 2" xfId="1091"/>
    <cellStyle name="Date" xfId="1092"/>
    <cellStyle name="Date 2" xfId="1093"/>
    <cellStyle name="Date 3" xfId="1094"/>
    <cellStyle name="Date 4" xfId="1095"/>
    <cellStyle name="Emphasis 1" xfId="1096"/>
    <cellStyle name="Emphasis 2" xfId="1097"/>
    <cellStyle name="Emphasis 3" xfId="1098"/>
    <cellStyle name="Entered" xfId="1099"/>
    <cellStyle name="Entered 2" xfId="1100"/>
    <cellStyle name="Entered_JHS-4" xfId="1101"/>
    <cellStyle name="Euro" xfId="1102"/>
    <cellStyle name="Euro 2" xfId="1103"/>
    <cellStyle name="Explanatory Text" xfId="1104"/>
    <cellStyle name="Explanatory Text 2 2" xfId="1105"/>
    <cellStyle name="Fixed" xfId="1106"/>
    <cellStyle name="Fixed3 - Style3" xfId="1107"/>
    <cellStyle name="Good" xfId="1108"/>
    <cellStyle name="Good 2 2" xfId="1109"/>
    <cellStyle name="Grey" xfId="1110"/>
    <cellStyle name="Grey 2" xfId="1111"/>
    <cellStyle name="Grey 3" xfId="1112"/>
    <cellStyle name="Grey 4" xfId="1113"/>
    <cellStyle name="Grey_(C) WHE Proforma with ITC cash grant 10 Yr Amort_for deferral_102809" xfId="1114"/>
    <cellStyle name="Header1" xfId="1115"/>
    <cellStyle name="Header2" xfId="1116"/>
    <cellStyle name="Heading 1" xfId="1117"/>
    <cellStyle name="Heading 1 2" xfId="1118"/>
    <cellStyle name="Heading 1 2 2" xfId="1119"/>
    <cellStyle name="Heading 1 3" xfId="1120"/>
    <cellStyle name="Heading 2" xfId="1121"/>
    <cellStyle name="Heading 2 2" xfId="1122"/>
    <cellStyle name="Heading 2 2 2" xfId="1123"/>
    <cellStyle name="Heading 2 3" xfId="1124"/>
    <cellStyle name="Heading 3" xfId="1125"/>
    <cellStyle name="Heading 3 2 2" xfId="1126"/>
    <cellStyle name="Heading 4" xfId="1127"/>
    <cellStyle name="Heading 4 2 2" xfId="1128"/>
    <cellStyle name="Heading1" xfId="1129"/>
    <cellStyle name="Heading2" xfId="1130"/>
    <cellStyle name="Input" xfId="1131"/>
    <cellStyle name="Input [yellow]" xfId="1132"/>
    <cellStyle name="Input [yellow] 2" xfId="1133"/>
    <cellStyle name="Input [yellow] 3" xfId="1134"/>
    <cellStyle name="Input [yellow] 4" xfId="1135"/>
    <cellStyle name="Input [yellow]_(C) WHE Proforma with ITC cash grant 10 Yr Amort_for deferral_102809" xfId="1136"/>
    <cellStyle name="Input 2 2" xfId="1137"/>
    <cellStyle name="Input Cells" xfId="1138"/>
    <cellStyle name="Input Cells Percent" xfId="1139"/>
    <cellStyle name="Input Cells_4.34E Mint Farm Deferral" xfId="1140"/>
    <cellStyle name="Lines" xfId="1141"/>
    <cellStyle name="Lines 2" xfId="1142"/>
    <cellStyle name="LINKED" xfId="1143"/>
    <cellStyle name="Linked Cell" xfId="1144"/>
    <cellStyle name="Linked Cell 2 2" xfId="1145"/>
    <cellStyle name="modified border" xfId="1146"/>
    <cellStyle name="modified border 2" xfId="1147"/>
    <cellStyle name="modified border 3" xfId="1148"/>
    <cellStyle name="modified border 4" xfId="1149"/>
    <cellStyle name="modified border_4.34E Mint Farm Deferral" xfId="1150"/>
    <cellStyle name="modified border1" xfId="1151"/>
    <cellStyle name="modified border1 2" xfId="1152"/>
    <cellStyle name="modified border1 3" xfId="1153"/>
    <cellStyle name="modified border1 4" xfId="1154"/>
    <cellStyle name="modified border1_4.34E Mint Farm Deferral" xfId="1155"/>
    <cellStyle name="Neutral" xfId="1156"/>
    <cellStyle name="Neutral 2 2" xfId="1157"/>
    <cellStyle name="no dec" xfId="1158"/>
    <cellStyle name="Normal - Style1" xfId="1159"/>
    <cellStyle name="Normal - Style1 2" xfId="1160"/>
    <cellStyle name="Normal - Style1 3" xfId="1161"/>
    <cellStyle name="Normal - Style1 4" xfId="1162"/>
    <cellStyle name="Normal - Style1_(C) WHE Proforma with ITC cash grant 10 Yr Amort_for deferral_102809" xfId="1163"/>
    <cellStyle name="Normal 10" xfId="1164"/>
    <cellStyle name="Normal 10 2" xfId="1165"/>
    <cellStyle name="Normal 10 3" xfId="1166"/>
    <cellStyle name="Normal 10_04.07E Wild Horse Wind Expansion" xfId="1167"/>
    <cellStyle name="Normal 11" xfId="1168"/>
    <cellStyle name="Normal 12" xfId="1169"/>
    <cellStyle name="Normal 13" xfId="1170"/>
    <cellStyle name="Normal 14" xfId="1171"/>
    <cellStyle name="Normal 15" xfId="1172"/>
    <cellStyle name="Normal 16" xfId="1173"/>
    <cellStyle name="Normal 17" xfId="1174"/>
    <cellStyle name="Normal 18" xfId="1175"/>
    <cellStyle name="Normal 19" xfId="1176"/>
    <cellStyle name="Normal 2" xfId="1177"/>
    <cellStyle name="Normal 2 2" xfId="1178"/>
    <cellStyle name="Normal 2 2 2" xfId="1179"/>
    <cellStyle name="Normal 2 2 3" xfId="1180"/>
    <cellStyle name="Normal 2 3" xfId="1181"/>
    <cellStyle name="Normal 2 4" xfId="1182"/>
    <cellStyle name="Normal 2 5" xfId="1183"/>
    <cellStyle name="Normal 2 6" xfId="1184"/>
    <cellStyle name="Normal 2 7" xfId="1185"/>
    <cellStyle name="Normal 2 8" xfId="1186"/>
    <cellStyle name="Normal 2_16.37E Wild Horse Expansion DeferralRevwrkingfile SF" xfId="1187"/>
    <cellStyle name="Normal 20" xfId="1188"/>
    <cellStyle name="Normal 21" xfId="1189"/>
    <cellStyle name="Normal 22" xfId="1190"/>
    <cellStyle name="Normal 23" xfId="1191"/>
    <cellStyle name="Normal 24" xfId="1192"/>
    <cellStyle name="Normal 25" xfId="1193"/>
    <cellStyle name="Normal 26" xfId="1194"/>
    <cellStyle name="Normal 27" xfId="1195"/>
    <cellStyle name="Normal 28" xfId="1196"/>
    <cellStyle name="Normal 29" xfId="1197"/>
    <cellStyle name="Normal 3 2" xfId="1198"/>
    <cellStyle name="Normal 3 3" xfId="1199"/>
    <cellStyle name="Normal 30" xfId="1200"/>
    <cellStyle name="Normal 31" xfId="1201"/>
    <cellStyle name="Normal 32" xfId="1202"/>
    <cellStyle name="Normal 33" xfId="1203"/>
    <cellStyle name="Normal 34" xfId="1204"/>
    <cellStyle name="Normal 35" xfId="1205"/>
    <cellStyle name="Normal 36" xfId="1206"/>
    <cellStyle name="Normal 37" xfId="1207"/>
    <cellStyle name="Normal 38" xfId="1208"/>
    <cellStyle name="Normal 39" xfId="1209"/>
    <cellStyle name="Normal 4 2" xfId="1210"/>
    <cellStyle name="Normal 6" xfId="1211"/>
    <cellStyle name="Normal 7" xfId="1212"/>
    <cellStyle name="Normal 8" xfId="1213"/>
    <cellStyle name="Normal 9" xfId="1214"/>
    <cellStyle name="Normal_2.03E Power Costs 60 w-yrs DRAFT 02.13.04" xfId="1215"/>
    <cellStyle name="Normal_Hopkins Ridge" xfId="1216"/>
    <cellStyle name="Normal_JHS Rebuttal Exhs 11-14 internal" xfId="1217"/>
    <cellStyle name="Normal_TENASKA REGULATORY ASSET" xfId="1218"/>
    <cellStyle name="Normal_Wild Horse 2006 GRC" xfId="1219"/>
    <cellStyle name="Note" xfId="1220"/>
    <cellStyle name="Note 10" xfId="1221"/>
    <cellStyle name="Note 11" xfId="1222"/>
    <cellStyle name="Note 12" xfId="1223"/>
    <cellStyle name="Note 2" xfId="1224"/>
    <cellStyle name="Note 2 2" xfId="1225"/>
    <cellStyle name="Note 3" xfId="1226"/>
    <cellStyle name="Note 4" xfId="1227"/>
    <cellStyle name="Note 5" xfId="1228"/>
    <cellStyle name="Note 6" xfId="1229"/>
    <cellStyle name="Note 7" xfId="1230"/>
    <cellStyle name="Note 8" xfId="1231"/>
    <cellStyle name="Note 9" xfId="1232"/>
    <cellStyle name="Output" xfId="1233"/>
    <cellStyle name="Output 2 2" xfId="1234"/>
    <cellStyle name="Percen - Style1" xfId="1235"/>
    <cellStyle name="Percen - Style2" xfId="1236"/>
    <cellStyle name="Percen - Style3" xfId="1237"/>
    <cellStyle name="Percent" xfId="1238"/>
    <cellStyle name="Percent [2]" xfId="1239"/>
    <cellStyle name="Percent [2] 2" xfId="1240"/>
    <cellStyle name="Percent 2" xfId="1241"/>
    <cellStyle name="Percent 2 2" xfId="1242"/>
    <cellStyle name="Percent 3" xfId="1243"/>
    <cellStyle name="Percent 3 2" xfId="1244"/>
    <cellStyle name="Percent 4 2" xfId="1245"/>
    <cellStyle name="Percent 6 2" xfId="1246"/>
    <cellStyle name="Percent 7" xfId="1247"/>
    <cellStyle name="Percent 8" xfId="1248"/>
    <cellStyle name="Processing" xfId="1249"/>
    <cellStyle name="PSChar" xfId="1250"/>
    <cellStyle name="PSDate" xfId="1251"/>
    <cellStyle name="PSDec" xfId="1252"/>
    <cellStyle name="PSHeading" xfId="1253"/>
    <cellStyle name="PSInt" xfId="1254"/>
    <cellStyle name="PSSpacer" xfId="1255"/>
    <cellStyle name="purple - Style8" xfId="1256"/>
    <cellStyle name="RED" xfId="1257"/>
    <cellStyle name="Red - Style7" xfId="1258"/>
    <cellStyle name="RED_04 07E Wild Horse Wind Expansion (C) (2)" xfId="1259"/>
    <cellStyle name="Report" xfId="1260"/>
    <cellStyle name="Report Bar" xfId="1261"/>
    <cellStyle name="Report Heading" xfId="1262"/>
    <cellStyle name="Report Heading 2" xfId="1263"/>
    <cellStyle name="Report Percent" xfId="1264"/>
    <cellStyle name="Report Percent 2" xfId="1265"/>
    <cellStyle name="Report Unit Cost" xfId="1266"/>
    <cellStyle name="Report Unit Cost 2" xfId="1267"/>
    <cellStyle name="Report_Adj Bench DR 3 for Initial Briefs (Electric)" xfId="1268"/>
    <cellStyle name="Reports" xfId="1269"/>
    <cellStyle name="Reports Total" xfId="1270"/>
    <cellStyle name="Reports Unit Cost Total" xfId="1271"/>
    <cellStyle name="Reports_16.37E Wild Horse Expansion DeferralRevwrkingfile SF" xfId="1272"/>
    <cellStyle name="RevList" xfId="1273"/>
    <cellStyle name="round100" xfId="1274"/>
    <cellStyle name="round100 2" xfId="1275"/>
    <cellStyle name="SAPBEXaggData" xfId="1276"/>
    <cellStyle name="SAPBEXaggDataEmph" xfId="1277"/>
    <cellStyle name="SAPBEXaggItem" xfId="1278"/>
    <cellStyle name="SAPBEXaggItemX" xfId="1279"/>
    <cellStyle name="SAPBEXchaText" xfId="1280"/>
    <cellStyle name="SAPBEXexcBad7" xfId="1281"/>
    <cellStyle name="SAPBEXexcBad8" xfId="1282"/>
    <cellStyle name="SAPBEXexcBad9" xfId="1283"/>
    <cellStyle name="SAPBEXexcCritical4" xfId="1284"/>
    <cellStyle name="SAPBEXexcCritical5" xfId="1285"/>
    <cellStyle name="SAPBEXexcCritical6" xfId="1286"/>
    <cellStyle name="SAPBEXexcGood1" xfId="1287"/>
    <cellStyle name="SAPBEXexcGood2" xfId="1288"/>
    <cellStyle name="SAPBEXexcGood3" xfId="1289"/>
    <cellStyle name="SAPBEXfilterDrill" xfId="1290"/>
    <cellStyle name="SAPBEXfilterItem" xfId="1291"/>
    <cellStyle name="SAPBEXfilterText" xfId="1292"/>
    <cellStyle name="SAPBEXformats" xfId="1293"/>
    <cellStyle name="SAPBEXheaderItem" xfId="1294"/>
    <cellStyle name="SAPBEXheaderText" xfId="1295"/>
    <cellStyle name="SAPBEXHLevel0" xfId="1296"/>
    <cellStyle name="SAPBEXHLevel0X" xfId="1297"/>
    <cellStyle name="SAPBEXHLevel1" xfId="1298"/>
    <cellStyle name="SAPBEXHLevel1X" xfId="1299"/>
    <cellStyle name="SAPBEXHLevel2" xfId="1300"/>
    <cellStyle name="SAPBEXHLevel2X" xfId="1301"/>
    <cellStyle name="SAPBEXHLevel3" xfId="1302"/>
    <cellStyle name="SAPBEXHLevel3X" xfId="1303"/>
    <cellStyle name="SAPBEXinputData" xfId="1304"/>
    <cellStyle name="SAPBEXresData" xfId="1305"/>
    <cellStyle name="SAPBEXresDataEmph" xfId="1306"/>
    <cellStyle name="SAPBEXresItem" xfId="1307"/>
    <cellStyle name="SAPBEXresItemX" xfId="1308"/>
    <cellStyle name="SAPBEXstdData" xfId="1309"/>
    <cellStyle name="SAPBEXstdDataEmph" xfId="1310"/>
    <cellStyle name="SAPBEXstdItem" xfId="1311"/>
    <cellStyle name="SAPBEXstdItemX" xfId="1312"/>
    <cellStyle name="SAPBEXtitle" xfId="1313"/>
    <cellStyle name="SAPBEXundefined" xfId="1314"/>
    <cellStyle name="shade" xfId="1315"/>
    <cellStyle name="shade 2" xfId="1316"/>
    <cellStyle name="Sheet Title" xfId="1317"/>
    <cellStyle name="StmtTtl1" xfId="1318"/>
    <cellStyle name="StmtTtl1 2" xfId="1319"/>
    <cellStyle name="StmtTtl1 3" xfId="1320"/>
    <cellStyle name="StmtTtl1 4" xfId="1321"/>
    <cellStyle name="StmtTtl1_(C) WHE Proforma with ITC cash grant 10 Yr Amort_for deferral_102809" xfId="1322"/>
    <cellStyle name="StmtTtl2" xfId="1323"/>
    <cellStyle name="STYL1 - Style1" xfId="1324"/>
    <cellStyle name="Style 1" xfId="1325"/>
    <cellStyle name="Style 1 2" xfId="1326"/>
    <cellStyle name="Style 1 3" xfId="1327"/>
    <cellStyle name="Style 1 4" xfId="1328"/>
    <cellStyle name="Style 1 5" xfId="1329"/>
    <cellStyle name="Style 1_04.07E Wild Horse Wind Expansion" xfId="1330"/>
    <cellStyle name="Subtotal" xfId="1331"/>
    <cellStyle name="Sub-total" xfId="1332"/>
    <cellStyle name="Title" xfId="1333"/>
    <cellStyle name="Title 2 2" xfId="1334"/>
    <cellStyle name="Title: Major" xfId="1335"/>
    <cellStyle name="Title: Minor" xfId="1336"/>
    <cellStyle name="Title: Minor 2" xfId="1337"/>
    <cellStyle name="Title: Worksheet" xfId="1338"/>
    <cellStyle name="Total" xfId="1339"/>
    <cellStyle name="Total 2" xfId="1340"/>
    <cellStyle name="Total 2 2" xfId="1341"/>
    <cellStyle name="Total 3" xfId="1342"/>
    <cellStyle name="Total4 - Style4" xfId="1343"/>
    <cellStyle name="Warning Text" xfId="1344"/>
    <cellStyle name="Warning Text 2 2" xfId="1345"/>
  </cellStyles>
  <dxfs count="3"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03"/>
  <sheetViews>
    <sheetView view="pageBreakPreview" zoomScale="60" workbookViewId="0" topLeftCell="AR41">
      <selection activeCell="BA68" sqref="BA68"/>
    </sheetView>
  </sheetViews>
  <sheetFormatPr defaultColWidth="16.57421875" defaultRowHeight="15"/>
  <cols>
    <col min="1" max="1" width="5.00390625" style="3" customWidth="1"/>
    <col min="2" max="2" width="59.00390625" style="3" customWidth="1"/>
    <col min="3" max="3" width="17.00390625" style="3" customWidth="1"/>
    <col min="4" max="4" width="19.00390625" style="3" customWidth="1"/>
    <col min="5" max="5" width="19.28125" style="3" customWidth="1"/>
    <col min="6" max="6" width="5.00390625" style="3" customWidth="1"/>
    <col min="7" max="7" width="48.7109375" style="4" customWidth="1"/>
    <col min="8" max="8" width="14.00390625" style="4" bestFit="1" customWidth="1"/>
    <col min="9" max="9" width="19.00390625" style="4" customWidth="1"/>
    <col min="10" max="10" width="15.57421875" style="3" customWidth="1"/>
    <col min="11" max="11" width="6.421875" style="3" customWidth="1"/>
    <col min="12" max="12" width="61.57421875" style="3" bestFit="1" customWidth="1"/>
    <col min="13" max="13" width="11.8515625" style="3" bestFit="1" customWidth="1"/>
    <col min="14" max="14" width="13.28125" style="3" bestFit="1" customWidth="1"/>
    <col min="15" max="15" width="14.140625" style="3" customWidth="1"/>
    <col min="16" max="16" width="5.8515625" style="3" customWidth="1"/>
    <col min="17" max="17" width="32.00390625" style="3" customWidth="1"/>
    <col min="18" max="18" width="5.57421875" style="3" customWidth="1"/>
    <col min="19" max="19" width="15.421875" style="3" customWidth="1"/>
    <col min="20" max="20" width="21.7109375" style="3" customWidth="1"/>
    <col min="21" max="21" width="5.57421875" style="3" bestFit="1" customWidth="1"/>
    <col min="22" max="22" width="47.57421875" style="3" customWidth="1"/>
    <col min="23" max="24" width="13.8515625" style="3" customWidth="1"/>
    <col min="25" max="25" width="19.8515625" style="3" customWidth="1"/>
    <col min="26" max="26" width="5.8515625" style="3" customWidth="1"/>
    <col min="27" max="27" width="38.7109375" style="3" customWidth="1"/>
    <col min="28" max="29" width="17.00390625" style="3" customWidth="1"/>
    <col min="30" max="30" width="20.8515625" style="3" customWidth="1"/>
    <col min="31" max="31" width="6.28125" style="3" bestFit="1" customWidth="1"/>
    <col min="32" max="32" width="58.7109375" style="3" customWidth="1"/>
    <col min="33" max="33" width="15.28125" style="3" customWidth="1"/>
    <col min="34" max="34" width="13.421875" style="3" customWidth="1"/>
    <col min="35" max="35" width="14.7109375" style="3" customWidth="1"/>
    <col min="36" max="36" width="16.421875" style="3" customWidth="1"/>
    <col min="37" max="37" width="5.57421875" style="3" bestFit="1" customWidth="1"/>
    <col min="38" max="38" width="52.28125" style="3" customWidth="1"/>
    <col min="39" max="39" width="12.28125" style="3" bestFit="1" customWidth="1"/>
    <col min="40" max="40" width="11.8515625" style="3" bestFit="1" customWidth="1"/>
    <col min="41" max="41" width="15.140625" style="3" customWidth="1"/>
    <col min="42" max="42" width="5.00390625" style="3" customWidth="1"/>
    <col min="43" max="43" width="51.28125" style="3" customWidth="1"/>
    <col min="44" max="45" width="15.28125" style="3" customWidth="1"/>
    <col min="46" max="46" width="19.8515625" style="3" customWidth="1"/>
    <col min="47" max="47" width="5.00390625" style="3" customWidth="1"/>
    <col min="48" max="48" width="65.28125" style="3" customWidth="1"/>
    <col min="49" max="49" width="14.00390625" style="3" bestFit="1" customWidth="1"/>
    <col min="50" max="50" width="15.8515625" style="3" bestFit="1" customWidth="1"/>
    <col min="51" max="51" width="20.8515625" style="3" customWidth="1"/>
    <col min="52" max="52" width="5.8515625" style="3" customWidth="1"/>
    <col min="53" max="53" width="66.00390625" style="3" customWidth="1"/>
    <col min="54" max="54" width="20.421875" style="3" customWidth="1"/>
    <col min="55" max="55" width="18.57421875" style="3" customWidth="1"/>
    <col min="56" max="56" width="20.421875" style="3" customWidth="1"/>
    <col min="57" max="57" width="18.57421875" style="3" bestFit="1" customWidth="1"/>
    <col min="58" max="58" width="18.57421875" style="3" customWidth="1"/>
    <col min="59" max="59" width="15.8515625" style="3" bestFit="1" customWidth="1"/>
    <col min="60" max="60" width="16.140625" style="3" bestFit="1" customWidth="1"/>
    <col min="61" max="61" width="20.7109375" style="3" customWidth="1"/>
    <col min="62" max="76" width="16.57421875" style="1" customWidth="1"/>
    <col min="77" max="77" width="5.00390625" style="3" customWidth="1"/>
    <col min="78" max="78" width="47.28125" style="2" customWidth="1"/>
    <col min="79" max="79" width="14.57421875" style="2" customWidth="1"/>
    <col min="80" max="80" width="13.421875" style="2" customWidth="1"/>
    <col min="81" max="81" width="19.140625" style="2" customWidth="1"/>
    <col min="82" max="16384" width="16.57421875" style="1" customWidth="1"/>
  </cols>
  <sheetData>
    <row r="1" spans="1:61" s="267" customFormat="1" ht="12.75">
      <c r="A1" s="362"/>
      <c r="B1" s="362"/>
      <c r="C1" s="362"/>
      <c r="D1" s="362"/>
      <c r="E1" s="362"/>
      <c r="F1" s="362"/>
      <c r="G1" s="362"/>
      <c r="H1" s="362"/>
      <c r="I1" s="363"/>
      <c r="J1" s="363"/>
      <c r="K1" s="362"/>
      <c r="L1" s="363"/>
      <c r="M1" s="363"/>
      <c r="N1" s="363"/>
      <c r="O1" s="363"/>
      <c r="P1" s="362"/>
      <c r="Q1" s="362"/>
      <c r="R1" s="362"/>
      <c r="S1" s="362"/>
      <c r="T1" s="362"/>
      <c r="U1" s="364"/>
      <c r="V1" s="364"/>
      <c r="W1" s="364"/>
      <c r="X1" s="364"/>
      <c r="Y1" s="364"/>
      <c r="Z1" s="362"/>
      <c r="AA1" s="362"/>
      <c r="AB1" s="362"/>
      <c r="AC1" s="362"/>
      <c r="AD1" s="365"/>
      <c r="AE1" s="362"/>
      <c r="AF1" s="362"/>
      <c r="AG1" s="362"/>
      <c r="AH1" s="362"/>
      <c r="AI1" s="362"/>
      <c r="AJ1" s="364"/>
      <c r="AK1" s="364"/>
      <c r="AL1" s="364"/>
      <c r="AM1" s="364"/>
      <c r="AN1" s="364"/>
      <c r="AO1" s="364"/>
      <c r="AP1" s="362"/>
      <c r="AQ1" s="363"/>
      <c r="AR1" s="363"/>
      <c r="AS1" s="363"/>
      <c r="AT1" s="363"/>
      <c r="AU1" s="362"/>
      <c r="AV1" s="362"/>
      <c r="AW1" s="362"/>
      <c r="AX1" s="363"/>
      <c r="AY1" s="363"/>
      <c r="AZ1" s="364"/>
      <c r="BA1" s="362"/>
      <c r="BB1" s="362"/>
      <c r="BC1" s="362"/>
      <c r="BD1" s="364"/>
      <c r="BE1" s="3"/>
      <c r="BF1" s="3"/>
      <c r="BG1" s="3"/>
      <c r="BH1" s="3"/>
      <c r="BI1" s="3"/>
    </row>
    <row r="2" spans="2:61" s="267" customFormat="1" ht="12.75">
      <c r="B2" s="243"/>
      <c r="C2" s="126"/>
      <c r="D2" s="126"/>
      <c r="E2" s="273"/>
      <c r="G2" s="3"/>
      <c r="H2" s="3"/>
      <c r="I2" s="3"/>
      <c r="J2" s="273"/>
      <c r="L2" s="119"/>
      <c r="M2" s="119"/>
      <c r="N2" s="119"/>
      <c r="O2" s="273"/>
      <c r="Q2" s="3"/>
      <c r="R2" s="3"/>
      <c r="S2" s="3"/>
      <c r="T2" s="273"/>
      <c r="V2" s="273"/>
      <c r="W2" s="273"/>
      <c r="X2" s="273"/>
      <c r="Y2" s="273"/>
      <c r="AA2" s="3"/>
      <c r="AB2" s="3"/>
      <c r="AC2" s="3"/>
      <c r="AD2" s="273"/>
      <c r="AE2" s="243"/>
      <c r="AG2" s="276"/>
      <c r="AH2" s="276"/>
      <c r="AI2" s="276"/>
      <c r="AJ2" s="374"/>
      <c r="AL2" s="273"/>
      <c r="AM2" s="273"/>
      <c r="AN2" s="273"/>
      <c r="AO2" s="273"/>
      <c r="AQ2" s="119"/>
      <c r="AR2" s="119"/>
      <c r="AS2" s="119"/>
      <c r="AT2" s="273"/>
      <c r="AV2" s="273"/>
      <c r="AW2" s="273"/>
      <c r="AX2" s="273"/>
      <c r="AY2" s="273"/>
      <c r="BA2" s="3"/>
      <c r="BB2" s="3"/>
      <c r="BC2" s="3"/>
      <c r="BD2" s="273"/>
      <c r="BE2" s="3"/>
      <c r="BF2" s="3"/>
      <c r="BG2" s="3"/>
      <c r="BH2" s="3"/>
      <c r="BI2" s="3"/>
    </row>
    <row r="3" spans="2:61" s="267" customFormat="1" ht="12.75">
      <c r="B3" s="3"/>
      <c r="C3" s="3"/>
      <c r="D3" s="3"/>
      <c r="E3" s="273"/>
      <c r="G3" s="3"/>
      <c r="H3" s="3"/>
      <c r="I3" s="3"/>
      <c r="J3" s="372"/>
      <c r="L3" s="119"/>
      <c r="M3" s="119"/>
      <c r="N3" s="119"/>
      <c r="O3" s="273"/>
      <c r="Q3" s="3"/>
      <c r="R3" s="3"/>
      <c r="S3" s="3"/>
      <c r="T3" s="273"/>
      <c r="V3" s="273"/>
      <c r="W3" s="273"/>
      <c r="X3" s="273"/>
      <c r="Y3" s="273"/>
      <c r="AA3" s="3"/>
      <c r="AB3" s="3"/>
      <c r="AC3" s="3"/>
      <c r="AD3" s="273"/>
      <c r="AE3" s="3"/>
      <c r="AG3" s="3"/>
      <c r="AH3" s="3"/>
      <c r="AI3" s="3"/>
      <c r="AJ3" s="273"/>
      <c r="AL3" s="273"/>
      <c r="AM3" s="273"/>
      <c r="AN3" s="273"/>
      <c r="AO3" s="273"/>
      <c r="AQ3" s="119"/>
      <c r="AR3" s="119"/>
      <c r="AS3" s="119"/>
      <c r="AT3" s="273"/>
      <c r="AV3" s="273"/>
      <c r="AW3" s="273"/>
      <c r="AX3" s="273"/>
      <c r="AY3" s="273"/>
      <c r="BA3" s="3"/>
      <c r="BB3" s="3"/>
      <c r="BC3" s="3"/>
      <c r="BD3" s="273"/>
      <c r="BE3" s="3"/>
      <c r="BF3" s="3"/>
      <c r="BG3" s="3"/>
      <c r="BH3" s="3"/>
      <c r="BI3" s="3"/>
    </row>
    <row r="4" spans="2:56" s="371" customFormat="1" ht="12.75">
      <c r="B4" s="367"/>
      <c r="C4" s="225"/>
      <c r="D4" s="225"/>
      <c r="E4" s="274" t="s">
        <v>316</v>
      </c>
      <c r="G4" s="368"/>
      <c r="H4" s="368"/>
      <c r="I4" s="368"/>
      <c r="J4" s="274"/>
      <c r="L4" s="368"/>
      <c r="M4" s="368"/>
      <c r="N4" s="368"/>
      <c r="O4" s="274"/>
      <c r="R4" s="366"/>
      <c r="S4" s="366"/>
      <c r="T4" s="274"/>
      <c r="V4" s="275"/>
      <c r="W4" s="275"/>
      <c r="X4" s="275"/>
      <c r="Y4" s="275"/>
      <c r="AA4" s="274"/>
      <c r="AB4" s="274"/>
      <c r="AC4" s="274"/>
      <c r="AD4" s="274"/>
      <c r="AE4" s="369"/>
      <c r="AG4" s="369"/>
      <c r="AH4" s="369"/>
      <c r="AI4" s="369"/>
      <c r="AJ4" s="373"/>
      <c r="AL4" s="272"/>
      <c r="AM4" s="272"/>
      <c r="AN4" s="272"/>
      <c r="AO4" s="272"/>
      <c r="AQ4" s="117"/>
      <c r="AR4" s="117"/>
      <c r="AS4" s="370"/>
      <c r="AT4" s="274"/>
      <c r="AV4" s="117"/>
      <c r="AW4" s="370"/>
      <c r="AX4" s="117"/>
      <c r="AY4" s="375"/>
      <c r="BA4" s="366"/>
      <c r="BB4" s="366"/>
      <c r="BC4" s="366"/>
      <c r="BD4" s="274"/>
    </row>
    <row r="5" spans="1:61" s="267" customFormat="1" ht="13.5">
      <c r="A5" s="264" t="s">
        <v>317</v>
      </c>
      <c r="B5" s="255"/>
      <c r="C5" s="255"/>
      <c r="D5" s="264"/>
      <c r="E5" s="255"/>
      <c r="F5" s="264" t="s">
        <v>317</v>
      </c>
      <c r="G5" s="263"/>
      <c r="H5" s="227"/>
      <c r="I5" s="227"/>
      <c r="J5" s="227"/>
      <c r="K5" s="264" t="s">
        <v>317</v>
      </c>
      <c r="L5" s="263"/>
      <c r="M5" s="227"/>
      <c r="N5" s="227"/>
      <c r="O5" s="227"/>
      <c r="P5" s="264" t="s">
        <v>317</v>
      </c>
      <c r="Q5" s="255"/>
      <c r="R5" s="255"/>
      <c r="S5" s="255"/>
      <c r="T5" s="255"/>
      <c r="U5" s="264" t="s">
        <v>317</v>
      </c>
      <c r="V5" s="255"/>
      <c r="W5" s="255"/>
      <c r="X5" s="255"/>
      <c r="Y5" s="255"/>
      <c r="Z5" s="264" t="s">
        <v>317</v>
      </c>
      <c r="AA5" s="255"/>
      <c r="AB5" s="255"/>
      <c r="AC5" s="255"/>
      <c r="AD5" s="255"/>
      <c r="AE5" s="264" t="s">
        <v>317</v>
      </c>
      <c r="AF5" s="255"/>
      <c r="AG5" s="255"/>
      <c r="AH5" s="255"/>
      <c r="AI5" s="255"/>
      <c r="AJ5" s="255"/>
      <c r="AK5" s="264" t="s">
        <v>317</v>
      </c>
      <c r="AL5" s="255"/>
      <c r="AM5" s="255"/>
      <c r="AN5" s="255"/>
      <c r="AO5" s="255"/>
      <c r="AP5" s="264" t="s">
        <v>317</v>
      </c>
      <c r="AQ5" s="271"/>
      <c r="AR5" s="269"/>
      <c r="AS5" s="269"/>
      <c r="AT5" s="269"/>
      <c r="AU5" s="264" t="s">
        <v>317</v>
      </c>
      <c r="AV5" s="263"/>
      <c r="AW5" s="227"/>
      <c r="AX5" s="227"/>
      <c r="AY5" s="227"/>
      <c r="AZ5" s="255" t="s">
        <v>317</v>
      </c>
      <c r="BA5" s="255"/>
      <c r="BB5" s="255"/>
      <c r="BC5" s="255"/>
      <c r="BD5" s="268"/>
      <c r="BE5" s="3"/>
      <c r="BF5" s="3"/>
      <c r="BG5" s="3"/>
      <c r="BH5" s="3"/>
      <c r="BI5" s="3"/>
    </row>
    <row r="6" spans="1:61" s="267" customFormat="1" ht="15.75">
      <c r="A6" s="264" t="s">
        <v>250</v>
      </c>
      <c r="B6" s="255"/>
      <c r="C6" s="264"/>
      <c r="D6" s="255"/>
      <c r="E6" s="255"/>
      <c r="F6" s="227" t="s">
        <v>249</v>
      </c>
      <c r="G6" s="227"/>
      <c r="H6" s="227"/>
      <c r="I6" s="227"/>
      <c r="J6" s="268"/>
      <c r="K6" s="227" t="s">
        <v>6</v>
      </c>
      <c r="L6" s="227"/>
      <c r="M6" s="227"/>
      <c r="N6" s="227"/>
      <c r="O6" s="268"/>
      <c r="P6" s="255" t="s">
        <v>248</v>
      </c>
      <c r="Q6" s="255"/>
      <c r="R6" s="255"/>
      <c r="S6" s="255"/>
      <c r="T6" s="268"/>
      <c r="U6" s="255" t="s">
        <v>247</v>
      </c>
      <c r="V6" s="255"/>
      <c r="W6" s="255"/>
      <c r="X6" s="255"/>
      <c r="Y6" s="255"/>
      <c r="Z6" s="255" t="s">
        <v>246</v>
      </c>
      <c r="AA6" s="268"/>
      <c r="AB6" s="268"/>
      <c r="AC6" s="268"/>
      <c r="AD6" s="268"/>
      <c r="AE6" s="255" t="s">
        <v>245</v>
      </c>
      <c r="AF6" s="255"/>
      <c r="AG6" s="255"/>
      <c r="AH6" s="255"/>
      <c r="AI6" s="255"/>
      <c r="AJ6" s="255"/>
      <c r="AK6" s="255" t="s">
        <v>244</v>
      </c>
      <c r="AL6" s="255"/>
      <c r="AM6" s="255"/>
      <c r="AN6" s="255"/>
      <c r="AO6" s="255"/>
      <c r="AP6" s="264" t="s">
        <v>243</v>
      </c>
      <c r="AQ6" s="270"/>
      <c r="AR6" s="269"/>
      <c r="AS6" s="269"/>
      <c r="AT6" s="269"/>
      <c r="AU6" s="227" t="s">
        <v>242</v>
      </c>
      <c r="AV6" s="227"/>
      <c r="AW6" s="227"/>
      <c r="AX6" s="227"/>
      <c r="AY6" s="268"/>
      <c r="AZ6" s="255" t="s">
        <v>241</v>
      </c>
      <c r="BA6" s="255"/>
      <c r="BB6" s="255"/>
      <c r="BC6" s="255"/>
      <c r="BD6" s="268"/>
      <c r="BE6" s="3"/>
      <c r="BF6" s="3"/>
      <c r="BG6" s="3"/>
      <c r="BH6" s="3"/>
      <c r="BI6" s="3"/>
    </row>
    <row r="7" spans="1:81" ht="12.75">
      <c r="A7" s="255" t="s">
        <v>240</v>
      </c>
      <c r="B7" s="255"/>
      <c r="C7" s="264"/>
      <c r="D7" s="255"/>
      <c r="E7" s="255"/>
      <c r="F7" s="227" t="s">
        <v>240</v>
      </c>
      <c r="G7" s="227"/>
      <c r="H7" s="227"/>
      <c r="I7" s="227"/>
      <c r="J7" s="261"/>
      <c r="K7" s="227" t="s">
        <v>240</v>
      </c>
      <c r="L7" s="227"/>
      <c r="M7" s="227"/>
      <c r="N7" s="227"/>
      <c r="O7" s="261"/>
      <c r="P7" s="255" t="s">
        <v>240</v>
      </c>
      <c r="Q7" s="255"/>
      <c r="R7" s="255"/>
      <c r="S7" s="255"/>
      <c r="T7" s="261"/>
      <c r="U7" s="255" t="s">
        <v>240</v>
      </c>
      <c r="V7" s="255"/>
      <c r="W7" s="255"/>
      <c r="X7" s="255"/>
      <c r="Y7" s="255"/>
      <c r="Z7" s="255" t="s">
        <v>240</v>
      </c>
      <c r="AA7" s="261"/>
      <c r="AB7" s="261"/>
      <c r="AC7" s="261"/>
      <c r="AD7" s="261"/>
      <c r="AE7" s="255" t="s">
        <v>240</v>
      </c>
      <c r="AF7" s="255"/>
      <c r="AG7" s="255"/>
      <c r="AH7" s="255"/>
      <c r="AI7" s="255"/>
      <c r="AJ7" s="255"/>
      <c r="AK7" s="255" t="s">
        <v>240</v>
      </c>
      <c r="AL7" s="255"/>
      <c r="AM7" s="255"/>
      <c r="AN7" s="255"/>
      <c r="AO7" s="255"/>
      <c r="AP7" s="255" t="s">
        <v>240</v>
      </c>
      <c r="AQ7" s="266"/>
      <c r="AR7" s="266"/>
      <c r="AS7" s="266"/>
      <c r="AT7" s="266"/>
      <c r="AU7" s="262" t="s">
        <v>240</v>
      </c>
      <c r="AV7" s="227"/>
      <c r="AW7" s="227"/>
      <c r="AX7" s="227"/>
      <c r="AY7" s="261"/>
      <c r="AZ7" s="255" t="s">
        <v>240</v>
      </c>
      <c r="BA7" s="255"/>
      <c r="BB7" s="255"/>
      <c r="BC7" s="255"/>
      <c r="BD7" s="261"/>
      <c r="BY7" s="1"/>
      <c r="BZ7" s="1"/>
      <c r="CA7" s="1"/>
      <c r="CB7" s="1"/>
      <c r="CC7" s="1"/>
    </row>
    <row r="8" spans="1:81" ht="12.75">
      <c r="A8" s="264" t="s">
        <v>238</v>
      </c>
      <c r="B8" s="255"/>
      <c r="C8" s="264"/>
      <c r="D8" s="264"/>
      <c r="E8" s="264"/>
      <c r="F8" s="227" t="s">
        <v>238</v>
      </c>
      <c r="G8" s="227"/>
      <c r="H8" s="227"/>
      <c r="I8" s="227"/>
      <c r="J8" s="261"/>
      <c r="K8" s="227" t="s">
        <v>238</v>
      </c>
      <c r="L8" s="227"/>
      <c r="M8" s="227"/>
      <c r="N8" s="227"/>
      <c r="O8" s="261"/>
      <c r="P8" s="265" t="s">
        <v>238</v>
      </c>
      <c r="Q8" s="265"/>
      <c r="R8" s="265"/>
      <c r="S8" s="265"/>
      <c r="T8" s="265"/>
      <c r="U8" s="255" t="s">
        <v>238</v>
      </c>
      <c r="V8" s="255"/>
      <c r="W8" s="255"/>
      <c r="X8" s="255"/>
      <c r="Y8" s="255"/>
      <c r="Z8" s="264" t="s">
        <v>238</v>
      </c>
      <c r="AA8" s="255"/>
      <c r="AB8" s="255"/>
      <c r="AC8" s="255"/>
      <c r="AD8" s="255"/>
      <c r="AE8" s="264" t="s">
        <v>238</v>
      </c>
      <c r="AF8" s="255"/>
      <c r="AG8" s="255"/>
      <c r="AH8" s="255"/>
      <c r="AI8" s="255"/>
      <c r="AJ8" s="255"/>
      <c r="AK8" s="255" t="s">
        <v>238</v>
      </c>
      <c r="AL8" s="255"/>
      <c r="AM8" s="255"/>
      <c r="AN8" s="255"/>
      <c r="AO8" s="255"/>
      <c r="AP8" s="264" t="s">
        <v>238</v>
      </c>
      <c r="AQ8" s="263"/>
      <c r="AR8" s="263"/>
      <c r="AS8" s="227"/>
      <c r="AT8" s="227"/>
      <c r="AU8" s="262" t="s">
        <v>239</v>
      </c>
      <c r="AV8" s="227"/>
      <c r="AW8" s="227"/>
      <c r="AX8" s="227"/>
      <c r="AY8" s="261"/>
      <c r="AZ8" s="255" t="s">
        <v>238</v>
      </c>
      <c r="BA8" s="255"/>
      <c r="BB8" s="255"/>
      <c r="BC8" s="255"/>
      <c r="BD8" s="261"/>
      <c r="BY8" s="1"/>
      <c r="BZ8" s="1"/>
      <c r="CA8" s="1"/>
      <c r="CB8" s="1"/>
      <c r="CC8" s="1"/>
    </row>
    <row r="9" spans="1:81" ht="13.5">
      <c r="A9" s="243"/>
      <c r="B9" s="243"/>
      <c r="C9" s="243"/>
      <c r="D9" s="260"/>
      <c r="E9" s="243"/>
      <c r="F9" s="252"/>
      <c r="G9" s="259"/>
      <c r="H9" s="252"/>
      <c r="I9" s="107"/>
      <c r="J9" s="252"/>
      <c r="K9" s="252"/>
      <c r="L9" s="258"/>
      <c r="M9" s="252"/>
      <c r="N9" s="107"/>
      <c r="O9" s="252"/>
      <c r="P9" s="243"/>
      <c r="Q9" s="249"/>
      <c r="R9" s="249"/>
      <c r="S9" s="243"/>
      <c r="T9" s="243"/>
      <c r="U9" s="70"/>
      <c r="V9" s="70"/>
      <c r="W9" s="70"/>
      <c r="X9" s="70"/>
      <c r="Y9" s="70"/>
      <c r="Z9" s="257"/>
      <c r="AA9" s="257"/>
      <c r="AB9" s="257"/>
      <c r="AC9" s="257"/>
      <c r="AD9" s="257"/>
      <c r="AE9" s="243"/>
      <c r="AF9" s="249"/>
      <c r="AG9" s="249"/>
      <c r="AH9" s="249"/>
      <c r="AI9" s="249"/>
      <c r="AJ9" s="243"/>
      <c r="AK9" s="256"/>
      <c r="AL9" s="255"/>
      <c r="AM9" s="255"/>
      <c r="AN9" s="255"/>
      <c r="AO9" s="255"/>
      <c r="AP9" s="243"/>
      <c r="AQ9" s="227"/>
      <c r="AR9" s="227"/>
      <c r="AS9" s="227"/>
      <c r="AT9" s="227"/>
      <c r="AU9" s="246"/>
      <c r="AV9" s="119"/>
      <c r="AW9" s="246"/>
      <c r="AX9" s="91"/>
      <c r="AY9" s="246"/>
      <c r="AZ9" s="243"/>
      <c r="BB9" s="17"/>
      <c r="BC9" s="243"/>
      <c r="BD9" s="243"/>
      <c r="BY9" s="1"/>
      <c r="BZ9" s="1"/>
      <c r="CA9" s="1"/>
      <c r="CB9" s="1"/>
      <c r="CC9" s="1"/>
    </row>
    <row r="10" spans="1:81" ht="12.75">
      <c r="A10" s="242" t="s">
        <v>234</v>
      </c>
      <c r="B10" s="249"/>
      <c r="C10" s="254"/>
      <c r="D10" s="244"/>
      <c r="E10" s="244" t="s">
        <v>237</v>
      </c>
      <c r="F10" s="253" t="s">
        <v>234</v>
      </c>
      <c r="G10" s="252"/>
      <c r="H10" s="251"/>
      <c r="I10" s="251"/>
      <c r="J10" s="251"/>
      <c r="K10" s="253" t="s">
        <v>234</v>
      </c>
      <c r="L10" s="252"/>
      <c r="M10" s="251"/>
      <c r="N10" s="251"/>
      <c r="O10" s="251"/>
      <c r="P10" s="244" t="s">
        <v>234</v>
      </c>
      <c r="Q10" s="243"/>
      <c r="R10" s="243"/>
      <c r="S10" s="243"/>
      <c r="T10" s="242" t="s">
        <v>24</v>
      </c>
      <c r="U10" s="242" t="s">
        <v>234</v>
      </c>
      <c r="V10" s="249"/>
      <c r="W10" s="248"/>
      <c r="X10" s="244"/>
      <c r="Y10" s="244"/>
      <c r="Z10" s="244" t="s">
        <v>234</v>
      </c>
      <c r="AA10" s="250"/>
      <c r="AB10" s="250"/>
      <c r="AC10" s="250"/>
      <c r="AD10" s="250"/>
      <c r="AE10" s="244" t="s">
        <v>234</v>
      </c>
      <c r="AF10" s="249"/>
      <c r="AG10" s="249"/>
      <c r="AH10" s="249"/>
      <c r="AI10" s="249"/>
      <c r="AJ10" s="242"/>
      <c r="AK10" s="242" t="s">
        <v>234</v>
      </c>
      <c r="AL10" s="249"/>
      <c r="AM10" s="248"/>
      <c r="AN10" s="244" t="s">
        <v>236</v>
      </c>
      <c r="AO10" s="244"/>
      <c r="AP10" s="242" t="s">
        <v>234</v>
      </c>
      <c r="AQ10" s="246"/>
      <c r="AR10" s="245"/>
      <c r="AS10" s="245" t="s">
        <v>236</v>
      </c>
      <c r="AT10" s="245"/>
      <c r="AU10" s="247" t="s">
        <v>234</v>
      </c>
      <c r="AV10" s="246"/>
      <c r="AW10" s="245" t="s">
        <v>235</v>
      </c>
      <c r="AX10" s="245"/>
      <c r="AY10" s="245"/>
      <c r="AZ10" s="244" t="s">
        <v>234</v>
      </c>
      <c r="BA10" s="243"/>
      <c r="BB10" s="242" t="s">
        <v>230</v>
      </c>
      <c r="BC10" s="242" t="s">
        <v>233</v>
      </c>
      <c r="BD10" s="242" t="s">
        <v>232</v>
      </c>
      <c r="BY10" s="1"/>
      <c r="BZ10" s="1"/>
      <c r="CA10" s="1"/>
      <c r="CB10" s="1"/>
      <c r="CC10" s="1"/>
    </row>
    <row r="11" spans="1:81" ht="12.75">
      <c r="A11" s="232" t="s">
        <v>222</v>
      </c>
      <c r="B11" s="233" t="s">
        <v>221</v>
      </c>
      <c r="C11" s="236" t="s">
        <v>229</v>
      </c>
      <c r="D11" s="236" t="s">
        <v>230</v>
      </c>
      <c r="E11" s="236" t="s">
        <v>231</v>
      </c>
      <c r="F11" s="240" t="s">
        <v>222</v>
      </c>
      <c r="G11" s="241" t="s">
        <v>221</v>
      </c>
      <c r="H11" s="240" t="s">
        <v>226</v>
      </c>
      <c r="I11" s="240" t="s">
        <v>230</v>
      </c>
      <c r="J11" s="240" t="s">
        <v>223</v>
      </c>
      <c r="K11" s="240" t="s">
        <v>222</v>
      </c>
      <c r="L11" s="241" t="s">
        <v>221</v>
      </c>
      <c r="M11" s="240" t="s">
        <v>226</v>
      </c>
      <c r="N11" s="240" t="s">
        <v>230</v>
      </c>
      <c r="O11" s="240" t="s">
        <v>223</v>
      </c>
      <c r="P11" s="236" t="s">
        <v>222</v>
      </c>
      <c r="Q11" s="239" t="s">
        <v>221</v>
      </c>
      <c r="R11" s="232"/>
      <c r="S11" s="232"/>
      <c r="T11" s="232" t="s">
        <v>227</v>
      </c>
      <c r="U11" s="232" t="s">
        <v>222</v>
      </c>
      <c r="V11" s="233" t="s">
        <v>221</v>
      </c>
      <c r="W11" s="238" t="s">
        <v>229</v>
      </c>
      <c r="X11" s="236" t="s">
        <v>230</v>
      </c>
      <c r="Y11" s="236" t="s">
        <v>223</v>
      </c>
      <c r="Z11" s="236" t="s">
        <v>222</v>
      </c>
      <c r="AA11" s="237"/>
      <c r="AB11" s="232" t="s">
        <v>229</v>
      </c>
      <c r="AC11" s="232" t="s">
        <v>228</v>
      </c>
      <c r="AD11" s="236" t="s">
        <v>223</v>
      </c>
      <c r="AE11" s="236" t="s">
        <v>222</v>
      </c>
      <c r="AF11" s="233" t="s">
        <v>221</v>
      </c>
      <c r="AG11" s="233"/>
      <c r="AH11" s="233"/>
      <c r="AI11" s="233"/>
      <c r="AJ11" s="232" t="s">
        <v>227</v>
      </c>
      <c r="AK11" s="232" t="s">
        <v>222</v>
      </c>
      <c r="AL11" s="233" t="s">
        <v>221</v>
      </c>
      <c r="AM11" s="236" t="s">
        <v>226</v>
      </c>
      <c r="AN11" s="236" t="s">
        <v>226</v>
      </c>
      <c r="AO11" s="236" t="s">
        <v>223</v>
      </c>
      <c r="AP11" s="232" t="s">
        <v>222</v>
      </c>
      <c r="AQ11" s="235" t="s">
        <v>221</v>
      </c>
      <c r="AR11" s="234" t="s">
        <v>226</v>
      </c>
      <c r="AS11" s="234" t="s">
        <v>224</v>
      </c>
      <c r="AT11" s="234" t="s">
        <v>223</v>
      </c>
      <c r="AU11" s="234" t="s">
        <v>222</v>
      </c>
      <c r="AV11" s="235" t="s">
        <v>221</v>
      </c>
      <c r="AW11" s="234" t="s">
        <v>225</v>
      </c>
      <c r="AX11" s="234" t="s">
        <v>224</v>
      </c>
      <c r="AY11" s="234" t="s">
        <v>223</v>
      </c>
      <c r="AZ11" s="232" t="s">
        <v>222</v>
      </c>
      <c r="BA11" s="233" t="s">
        <v>221</v>
      </c>
      <c r="BB11" s="232" t="s">
        <v>220</v>
      </c>
      <c r="BC11" s="231">
        <v>0.02099</v>
      </c>
      <c r="BD11" s="230">
        <v>0.35</v>
      </c>
      <c r="BY11" s="1"/>
      <c r="BZ11" s="1"/>
      <c r="CA11" s="1"/>
      <c r="CB11" s="1"/>
      <c r="CC11" s="1"/>
    </row>
    <row r="12" spans="1:81" ht="12.75">
      <c r="A12" s="229"/>
      <c r="B12" s="228"/>
      <c r="C12" s="228"/>
      <c r="D12" s="228"/>
      <c r="E12" s="228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7"/>
      <c r="Q12" s="4"/>
      <c r="R12" s="60"/>
      <c r="S12" s="9"/>
      <c r="T12" s="9"/>
      <c r="U12" s="228"/>
      <c r="V12" s="228"/>
      <c r="W12" s="228"/>
      <c r="X12" s="228"/>
      <c r="Y12" s="228"/>
      <c r="Z12" s="17"/>
      <c r="AA12" s="177"/>
      <c r="AB12" s="30"/>
      <c r="AC12" s="30"/>
      <c r="AD12" s="30"/>
      <c r="AK12" s="224"/>
      <c r="AL12" s="224"/>
      <c r="AM12" s="224"/>
      <c r="AN12" s="224"/>
      <c r="AO12" s="224"/>
      <c r="AP12" s="17"/>
      <c r="AQ12" s="227"/>
      <c r="AR12" s="227"/>
      <c r="AS12" s="227"/>
      <c r="AT12" s="227"/>
      <c r="AU12" s="119"/>
      <c r="AV12" s="119"/>
      <c r="AW12" s="119"/>
      <c r="AX12" s="119"/>
      <c r="AY12" s="119"/>
      <c r="BC12" s="114"/>
      <c r="BY12" s="1"/>
      <c r="BZ12" s="1"/>
      <c r="CA12" s="1"/>
      <c r="CB12" s="1"/>
      <c r="CC12" s="1"/>
    </row>
    <row r="13" spans="1:81" ht="12.75">
      <c r="A13" s="17">
        <v>1</v>
      </c>
      <c r="B13" s="3" t="s">
        <v>84</v>
      </c>
      <c r="C13" s="10">
        <v>201262557</v>
      </c>
      <c r="D13" s="10">
        <f>-'JHS-5.01(A)'!N30</f>
        <v>7074814.2405572375</v>
      </c>
      <c r="E13" s="10">
        <f>D13-C13</f>
        <v>-194187742.75944278</v>
      </c>
      <c r="F13" s="107">
        <v>1</v>
      </c>
      <c r="G13" s="185" t="s">
        <v>219</v>
      </c>
      <c r="H13" s="187"/>
      <c r="I13" s="187"/>
      <c r="J13" s="187"/>
      <c r="K13" s="107">
        <v>1</v>
      </c>
      <c r="L13" s="157" t="s">
        <v>218</v>
      </c>
      <c r="M13" s="187"/>
      <c r="N13" s="187"/>
      <c r="O13" s="187"/>
      <c r="P13" s="17">
        <f aca="true" t="shared" si="0" ref="P13:P21">P12+1</f>
        <v>1</v>
      </c>
      <c r="Q13" s="39" t="s">
        <v>217</v>
      </c>
      <c r="R13" s="177"/>
      <c r="S13" s="30">
        <v>4846358759.714285</v>
      </c>
      <c r="T13" s="177"/>
      <c r="U13" s="17">
        <v>1</v>
      </c>
      <c r="W13" s="204"/>
      <c r="X13" s="204"/>
      <c r="Y13" s="204"/>
      <c r="Z13" s="17">
        <v>1</v>
      </c>
      <c r="AA13" s="226" t="s">
        <v>216</v>
      </c>
      <c r="AB13" s="34">
        <v>166953096.899999</v>
      </c>
      <c r="AC13" s="34">
        <v>0</v>
      </c>
      <c r="AD13" s="34">
        <f>AC13-AB13</f>
        <v>-166953096.899999</v>
      </c>
      <c r="AE13" s="17">
        <v>1</v>
      </c>
      <c r="AF13" s="141" t="s">
        <v>215</v>
      </c>
      <c r="AG13" s="141"/>
      <c r="AH13" s="141" t="s">
        <v>214</v>
      </c>
      <c r="AI13" s="141" t="s">
        <v>213</v>
      </c>
      <c r="AJ13" s="141" t="s">
        <v>212</v>
      </c>
      <c r="AK13" s="32">
        <v>1</v>
      </c>
      <c r="AL13" s="225" t="s">
        <v>211</v>
      </c>
      <c r="AM13" s="224"/>
      <c r="AN13" s="224"/>
      <c r="AO13" s="224"/>
      <c r="AP13" s="107">
        <v>1</v>
      </c>
      <c r="AQ13" s="202" t="s">
        <v>210</v>
      </c>
      <c r="AU13" s="17">
        <v>1</v>
      </c>
      <c r="AV13" s="221" t="s">
        <v>209</v>
      </c>
      <c r="AW13" s="127"/>
      <c r="AX13" s="127"/>
      <c r="AY13" s="127"/>
      <c r="AZ13" s="17">
        <v>1</v>
      </c>
      <c r="BA13" s="26" t="s">
        <v>208</v>
      </c>
      <c r="BC13" s="114"/>
      <c r="BD13" s="174"/>
      <c r="BY13" s="1"/>
      <c r="BZ13" s="1"/>
      <c r="CA13" s="1"/>
      <c r="CB13" s="1"/>
      <c r="CC13" s="1"/>
    </row>
    <row r="14" spans="1:81" ht="12.75">
      <c r="A14" s="17">
        <f aca="true" t="shared" si="1" ref="A14:A40">A13+1</f>
        <v>2</v>
      </c>
      <c r="C14" s="29"/>
      <c r="D14" s="29"/>
      <c r="E14" s="29"/>
      <c r="F14" s="107">
        <f aca="true" t="shared" si="2" ref="F14:F38">F13+1</f>
        <v>2</v>
      </c>
      <c r="G14" s="185" t="s">
        <v>207</v>
      </c>
      <c r="H14" s="165"/>
      <c r="I14" s="223"/>
      <c r="J14" s="165"/>
      <c r="K14" s="107">
        <f aca="true" t="shared" si="3" ref="K14:K33">K13+1</f>
        <v>2</v>
      </c>
      <c r="L14" s="184" t="s">
        <v>206</v>
      </c>
      <c r="M14" s="150"/>
      <c r="N14" s="148">
        <v>99707854</v>
      </c>
      <c r="O14" s="148">
        <f>+N14-M14</f>
        <v>99707854</v>
      </c>
      <c r="P14" s="17">
        <f t="shared" si="0"/>
        <v>2</v>
      </c>
      <c r="Q14" s="24" t="s">
        <v>205</v>
      </c>
      <c r="R14" s="82"/>
      <c r="S14" s="222">
        <v>0.00035</v>
      </c>
      <c r="T14" s="177"/>
      <c r="U14" s="17">
        <f aca="true" t="shared" si="4" ref="U14:U26">U13+1</f>
        <v>2</v>
      </c>
      <c r="V14" s="221" t="s">
        <v>204</v>
      </c>
      <c r="W14" s="220"/>
      <c r="X14" s="220"/>
      <c r="Y14" s="220"/>
      <c r="Z14" s="17">
        <f aca="true" t="shared" si="5" ref="Z14:Z21">Z13+1</f>
        <v>2</v>
      </c>
      <c r="AA14" s="24"/>
      <c r="AB14" s="219"/>
      <c r="AC14" s="29"/>
      <c r="AD14" s="29"/>
      <c r="AE14" s="17">
        <f aca="true" t="shared" si="6" ref="AE14:AE60">AE13+1</f>
        <v>2</v>
      </c>
      <c r="AF14" s="218" t="s">
        <v>203</v>
      </c>
      <c r="AG14" s="93"/>
      <c r="AH14" s="93"/>
      <c r="AI14" s="93"/>
      <c r="AJ14" s="217"/>
      <c r="AK14" s="32">
        <f aca="true" t="shared" si="7" ref="AK14:AK43">AK13+1</f>
        <v>2</v>
      </c>
      <c r="AL14" s="210" t="s">
        <v>202</v>
      </c>
      <c r="AM14" s="96">
        <v>59395254</v>
      </c>
      <c r="AN14" s="96">
        <v>0</v>
      </c>
      <c r="AO14" s="96">
        <f>AN14-AM14</f>
        <v>-59395254</v>
      </c>
      <c r="AP14" s="107">
        <f aca="true" t="shared" si="8" ref="AP14:AP32">AP13+1</f>
        <v>2</v>
      </c>
      <c r="AQ14" s="151" t="s">
        <v>201</v>
      </c>
      <c r="AR14" s="96">
        <v>0</v>
      </c>
      <c r="AS14" s="96">
        <v>141761311.7899999</v>
      </c>
      <c r="AT14" s="96">
        <f>+AS14-AR14</f>
        <v>141761311.7899999</v>
      </c>
      <c r="AU14" s="17">
        <f>AU13+1</f>
        <v>2</v>
      </c>
      <c r="AV14" s="23" t="s">
        <v>16</v>
      </c>
      <c r="AW14" s="57">
        <v>16250380.34333334</v>
      </c>
      <c r="AX14" s="57">
        <v>11214773.00999999</v>
      </c>
      <c r="AY14" s="57">
        <f aca="true" t="shared" si="9" ref="AY14:AY33">+AX14-AW14</f>
        <v>-5035607.333333349</v>
      </c>
      <c r="AZ14" s="17">
        <f aca="true" t="shared" si="10" ref="AZ14:AZ45">AZ13+1</f>
        <v>2</v>
      </c>
      <c r="BA14" s="24" t="s">
        <v>200</v>
      </c>
      <c r="BB14" s="100"/>
      <c r="BC14" s="100"/>
      <c r="BD14" s="100"/>
      <c r="BY14" s="1"/>
      <c r="BZ14" s="1"/>
      <c r="CA14" s="1"/>
      <c r="CB14" s="1"/>
      <c r="CC14" s="1"/>
    </row>
    <row r="15" spans="1:81" ht="12.75">
      <c r="A15" s="17">
        <f t="shared" si="1"/>
        <v>3</v>
      </c>
      <c r="B15" s="3" t="s">
        <v>199</v>
      </c>
      <c r="C15" s="31">
        <v>-36748461.42</v>
      </c>
      <c r="D15" s="31">
        <f>'JHS-5.01(A)'!N31</f>
        <v>0</v>
      </c>
      <c r="E15" s="31">
        <f>D15-C15</f>
        <v>36748461.42</v>
      </c>
      <c r="F15" s="107">
        <f t="shared" si="2"/>
        <v>3</v>
      </c>
      <c r="G15" s="203" t="s">
        <v>197</v>
      </c>
      <c r="H15" s="169">
        <v>42218.9275</v>
      </c>
      <c r="I15" s="154">
        <v>773474856.095531</v>
      </c>
      <c r="J15" s="154">
        <f>+I15-H15</f>
        <v>773432637.168031</v>
      </c>
      <c r="K15" s="107">
        <f t="shared" si="3"/>
        <v>3</v>
      </c>
      <c r="L15" s="216" t="s">
        <v>198</v>
      </c>
      <c r="M15" s="145"/>
      <c r="N15" s="145">
        <v>0</v>
      </c>
      <c r="O15" s="145">
        <f>+N15-M15</f>
        <v>0</v>
      </c>
      <c r="P15" s="17">
        <f t="shared" si="0"/>
        <v>3</v>
      </c>
      <c r="Q15" s="24"/>
      <c r="R15" s="82"/>
      <c r="S15" s="200"/>
      <c r="T15" s="177"/>
      <c r="U15" s="17">
        <f t="shared" si="4"/>
        <v>3</v>
      </c>
      <c r="V15" s="215" t="s">
        <v>197</v>
      </c>
      <c r="W15" s="169">
        <v>4357020</v>
      </c>
      <c r="X15" s="154"/>
      <c r="Y15" s="154">
        <f>+X15-W15</f>
        <v>-4357020</v>
      </c>
      <c r="Z15" s="17">
        <f t="shared" si="5"/>
        <v>3</v>
      </c>
      <c r="AA15" s="214" t="s">
        <v>196</v>
      </c>
      <c r="AB15" s="213">
        <f>SUM(AB13:AB14)</f>
        <v>166953096.899999</v>
      </c>
      <c r="AC15" s="213">
        <f>SUM(AC13:AC14)</f>
        <v>0</v>
      </c>
      <c r="AD15" s="213">
        <f>SUM(AD13:AD14)</f>
        <v>-166953096.899999</v>
      </c>
      <c r="AE15" s="17">
        <f t="shared" si="6"/>
        <v>3</v>
      </c>
      <c r="AF15" s="126" t="s">
        <v>195</v>
      </c>
      <c r="AG15" s="126"/>
      <c r="AH15" s="212">
        <v>122467.67</v>
      </c>
      <c r="AI15" s="212">
        <v>3449455.5100000002</v>
      </c>
      <c r="AJ15" s="211">
        <f aca="true" t="shared" si="11" ref="AJ15:AJ20">SUM(AH15+AI15)</f>
        <v>3571923.18</v>
      </c>
      <c r="AK15" s="32">
        <f t="shared" si="7"/>
        <v>3</v>
      </c>
      <c r="AL15" s="210" t="s">
        <v>194</v>
      </c>
      <c r="AM15" s="32">
        <v>-2899124.75</v>
      </c>
      <c r="AN15" s="32">
        <v>0</v>
      </c>
      <c r="AO15" s="32">
        <f>AN15-AM15</f>
        <v>2899124.75</v>
      </c>
      <c r="AP15" s="107">
        <f t="shared" si="8"/>
        <v>3</v>
      </c>
      <c r="AQ15" s="151" t="s">
        <v>151</v>
      </c>
      <c r="AR15" s="3">
        <v>0</v>
      </c>
      <c r="AS15" s="191">
        <v>-7088065.589499994</v>
      </c>
      <c r="AT15" s="148">
        <f>+AS15-AR15</f>
        <v>-7088065.589499994</v>
      </c>
      <c r="AU15" s="17">
        <f aca="true" t="shared" si="12" ref="AU15:AU46">+AU14+1</f>
        <v>3</v>
      </c>
      <c r="AV15" s="23" t="s">
        <v>15</v>
      </c>
      <c r="AW15" s="57">
        <v>37566967.73625</v>
      </c>
      <c r="AX15" s="101">
        <v>34565277.37337757</v>
      </c>
      <c r="AY15" s="101">
        <f t="shared" si="9"/>
        <v>-3001690.362872429</v>
      </c>
      <c r="AZ15" s="17">
        <f t="shared" si="10"/>
        <v>3</v>
      </c>
      <c r="BA15" s="24" t="s">
        <v>89</v>
      </c>
      <c r="BB15" s="14">
        <v>79814.05095969615</v>
      </c>
      <c r="BC15" s="14">
        <f>+BB15*-$BC$11</f>
        <v>-1675.2969296440224</v>
      </c>
      <c r="BD15" s="14">
        <f>ROUND(+BC15*-$BD$11,0)</f>
        <v>586</v>
      </c>
      <c r="BY15" s="1"/>
      <c r="BZ15" s="1"/>
      <c r="CA15" s="1"/>
      <c r="CB15" s="1"/>
      <c r="CC15" s="1"/>
    </row>
    <row r="16" spans="1:81" ht="12.75">
      <c r="A16" s="17">
        <f t="shared" si="1"/>
        <v>4</v>
      </c>
      <c r="B16" s="3" t="s">
        <v>193</v>
      </c>
      <c r="C16" s="111">
        <v>10703022.63</v>
      </c>
      <c r="D16" s="111">
        <f>-'JHS-5.01(A)'!N35</f>
        <v>11378097.936059868</v>
      </c>
      <c r="E16" s="111">
        <f>D16-C16</f>
        <v>675075.3060598671</v>
      </c>
      <c r="F16" s="107">
        <f t="shared" si="2"/>
        <v>4</v>
      </c>
      <c r="G16" s="203" t="s">
        <v>190</v>
      </c>
      <c r="H16" s="143">
        <v>0</v>
      </c>
      <c r="I16" s="144">
        <v>-17848252.050684582</v>
      </c>
      <c r="J16" s="144">
        <f>+I16-H16</f>
        <v>-17848252.050684582</v>
      </c>
      <c r="K16" s="107">
        <f t="shared" si="3"/>
        <v>4</v>
      </c>
      <c r="L16" s="209" t="s">
        <v>192</v>
      </c>
      <c r="M16" s="89">
        <f>SUM(M14:M15)</f>
        <v>0</v>
      </c>
      <c r="N16" s="89">
        <f>SUM(N14:N15)</f>
        <v>99707854</v>
      </c>
      <c r="O16" s="148">
        <f>+N16-M16</f>
        <v>99707854</v>
      </c>
      <c r="P16" s="17">
        <f t="shared" si="0"/>
        <v>4</v>
      </c>
      <c r="Q16" s="24" t="s">
        <v>191</v>
      </c>
      <c r="R16" s="82"/>
      <c r="S16" s="200"/>
      <c r="T16" s="30">
        <f>S13*S14</f>
        <v>1696225.5658999998</v>
      </c>
      <c r="U16" s="17">
        <f t="shared" si="4"/>
        <v>4</v>
      </c>
      <c r="V16" s="203" t="s">
        <v>190</v>
      </c>
      <c r="W16" s="143">
        <v>-462883</v>
      </c>
      <c r="X16" s="144"/>
      <c r="Y16" s="144">
        <f>+X16-W16</f>
        <v>462883</v>
      </c>
      <c r="Z16" s="17">
        <f t="shared" si="5"/>
        <v>4</v>
      </c>
      <c r="AA16" s="24"/>
      <c r="AB16" s="68"/>
      <c r="AC16" s="68"/>
      <c r="AD16" s="68"/>
      <c r="AE16" s="17">
        <f t="shared" si="6"/>
        <v>4</v>
      </c>
      <c r="AF16" s="126" t="s">
        <v>189</v>
      </c>
      <c r="AG16" s="126"/>
      <c r="AH16" s="196">
        <v>450747.92</v>
      </c>
      <c r="AI16" s="196">
        <v>10435721.23</v>
      </c>
      <c r="AJ16" s="188">
        <f t="shared" si="11"/>
        <v>10886469.15</v>
      </c>
      <c r="AK16" s="32">
        <f t="shared" si="7"/>
        <v>4</v>
      </c>
      <c r="AL16" s="32"/>
      <c r="AM16" s="208"/>
      <c r="AN16" s="208"/>
      <c r="AO16" s="208"/>
      <c r="AP16" s="107">
        <f t="shared" si="8"/>
        <v>4</v>
      </c>
      <c r="AQ16" s="151" t="s">
        <v>188</v>
      </c>
      <c r="AR16" s="145">
        <v>0</v>
      </c>
      <c r="AS16" s="146">
        <v>-17542944.033175014</v>
      </c>
      <c r="AT16" s="183">
        <f>+AS16-AR16</f>
        <v>-17542944.033175014</v>
      </c>
      <c r="AU16" s="17">
        <f t="shared" si="12"/>
        <v>4</v>
      </c>
      <c r="AV16" s="23" t="s">
        <v>14</v>
      </c>
      <c r="AW16" s="57">
        <v>24579163.585833333</v>
      </c>
      <c r="AX16" s="101">
        <v>24941806.74</v>
      </c>
      <c r="AY16" s="101">
        <f t="shared" si="9"/>
        <v>362643.1541666649</v>
      </c>
      <c r="AZ16" s="17">
        <f t="shared" si="10"/>
        <v>4</v>
      </c>
      <c r="BA16" s="24" t="s">
        <v>187</v>
      </c>
      <c r="BB16" s="15">
        <v>498117.354159779</v>
      </c>
      <c r="BC16" s="15">
        <f>+BB16*-$BC$11</f>
        <v>-10455.483263813761</v>
      </c>
      <c r="BD16" s="15">
        <f>ROUND(+BC16*-$BD$11,0)</f>
        <v>3659</v>
      </c>
      <c r="BY16" s="1"/>
      <c r="BZ16" s="1"/>
      <c r="CA16" s="1"/>
      <c r="CB16" s="1"/>
      <c r="CC16" s="1"/>
    </row>
    <row r="17" spans="1:56" ht="13.5" thickBot="1">
      <c r="A17" s="17">
        <f t="shared" si="1"/>
        <v>5</v>
      </c>
      <c r="C17" s="31">
        <f>SUM(C15:C16)</f>
        <v>-26045438.79</v>
      </c>
      <c r="D17" s="31">
        <f>SUM(D15:D16)</f>
        <v>11378097.936059868</v>
      </c>
      <c r="E17" s="31">
        <f>SUM(E15:E16)</f>
        <v>37423536.72605987</v>
      </c>
      <c r="F17" s="107">
        <f t="shared" si="2"/>
        <v>5</v>
      </c>
      <c r="G17" s="203" t="s">
        <v>185</v>
      </c>
      <c r="H17" s="144">
        <v>0</v>
      </c>
      <c r="I17" s="144">
        <v>-67873620.07385407</v>
      </c>
      <c r="J17" s="144">
        <f>+I17-H17</f>
        <v>-67873620.07385407</v>
      </c>
      <c r="K17" s="107">
        <f t="shared" si="3"/>
        <v>5</v>
      </c>
      <c r="M17" s="128"/>
      <c r="N17" s="128"/>
      <c r="O17" s="128"/>
      <c r="P17" s="17">
        <f t="shared" si="0"/>
        <v>5</v>
      </c>
      <c r="Q17" s="24" t="s">
        <v>186</v>
      </c>
      <c r="R17" s="82"/>
      <c r="S17" s="207"/>
      <c r="T17" s="206">
        <v>1542094.23</v>
      </c>
      <c r="U17" s="17">
        <f t="shared" si="4"/>
        <v>5</v>
      </c>
      <c r="V17" s="203" t="s">
        <v>185</v>
      </c>
      <c r="W17" s="144">
        <v>-523501</v>
      </c>
      <c r="X17" s="144"/>
      <c r="Y17" s="144">
        <f>+X17-W17</f>
        <v>523501</v>
      </c>
      <c r="Z17" s="17">
        <f t="shared" si="5"/>
        <v>5</v>
      </c>
      <c r="AA17" s="24" t="s">
        <v>184</v>
      </c>
      <c r="AB17" s="68"/>
      <c r="AC17" s="68"/>
      <c r="AD17" s="13">
        <f>-AD15</f>
        <v>166953096.899999</v>
      </c>
      <c r="AE17" s="17">
        <f t="shared" si="6"/>
        <v>5</v>
      </c>
      <c r="AF17" s="126" t="s">
        <v>183</v>
      </c>
      <c r="AG17" s="126"/>
      <c r="AH17" s="196">
        <v>376352.92</v>
      </c>
      <c r="AI17" s="196">
        <v>8672798.45</v>
      </c>
      <c r="AJ17" s="188">
        <f t="shared" si="11"/>
        <v>9049151.37</v>
      </c>
      <c r="AK17" s="32">
        <f t="shared" si="7"/>
        <v>5</v>
      </c>
      <c r="AL17" s="32" t="s">
        <v>182</v>
      </c>
      <c r="AM17" s="205">
        <f>SUM(AM14:AM16)</f>
        <v>56496129.25</v>
      </c>
      <c r="AN17" s="205">
        <v>0</v>
      </c>
      <c r="AO17" s="205">
        <f>AN17-AM17</f>
        <v>-56496129.25</v>
      </c>
      <c r="AP17" s="107">
        <f t="shared" si="8"/>
        <v>5</v>
      </c>
      <c r="AQ17" s="184"/>
      <c r="AR17" s="204"/>
      <c r="AS17" s="120"/>
      <c r="AT17" s="148"/>
      <c r="AU17" s="17">
        <f t="shared" si="12"/>
        <v>5</v>
      </c>
      <c r="AV17" s="23" t="s">
        <v>13</v>
      </c>
      <c r="AW17" s="57">
        <v>-25951720.432499994</v>
      </c>
      <c r="AX17" s="101">
        <v>-29911730</v>
      </c>
      <c r="AY17" s="101">
        <f t="shared" si="9"/>
        <v>-3960009.5675000064</v>
      </c>
      <c r="AZ17" s="17">
        <f t="shared" si="10"/>
        <v>5</v>
      </c>
      <c r="BA17" s="3" t="s">
        <v>181</v>
      </c>
      <c r="BB17" s="28">
        <f>SUM(BB14:BB16)</f>
        <v>577931.4051194751</v>
      </c>
      <c r="BC17" s="28">
        <f>SUM(BC14:BC16)</f>
        <v>-12130.780193457784</v>
      </c>
      <c r="BD17" s="28">
        <f>SUM(BD14:BD16)</f>
        <v>4245</v>
      </c>
    </row>
    <row r="18" spans="1:56" ht="14.25" thickBot="1" thickTop="1">
      <c r="A18" s="17">
        <f t="shared" si="1"/>
        <v>6</v>
      </c>
      <c r="C18" s="29"/>
      <c r="D18" s="29"/>
      <c r="E18" s="29"/>
      <c r="F18" s="107">
        <f t="shared" si="2"/>
        <v>6</v>
      </c>
      <c r="G18" s="203"/>
      <c r="H18" s="144"/>
      <c r="I18" s="144" t="s">
        <v>24</v>
      </c>
      <c r="J18" s="144" t="s">
        <v>24</v>
      </c>
      <c r="K18" s="107">
        <f t="shared" si="3"/>
        <v>6</v>
      </c>
      <c r="L18" s="202" t="s">
        <v>180</v>
      </c>
      <c r="P18" s="17">
        <f t="shared" si="0"/>
        <v>6</v>
      </c>
      <c r="Q18" s="24" t="s">
        <v>42</v>
      </c>
      <c r="R18" s="201"/>
      <c r="S18" s="200"/>
      <c r="T18" s="34">
        <f>T16-T17</f>
        <v>154131.33589999983</v>
      </c>
      <c r="U18" s="17">
        <f t="shared" si="4"/>
        <v>6</v>
      </c>
      <c r="V18" s="198" t="s">
        <v>179</v>
      </c>
      <c r="W18" s="197">
        <f>SUM(W15:W17)</f>
        <v>3370636</v>
      </c>
      <c r="X18" s="197">
        <f>SUM(X15:X17)</f>
        <v>0</v>
      </c>
      <c r="Y18" s="197">
        <f>SUM(Y15:Y17)</f>
        <v>-3370636</v>
      </c>
      <c r="Z18" s="17">
        <f t="shared" si="5"/>
        <v>6</v>
      </c>
      <c r="AA18" s="24"/>
      <c r="AB18" s="68"/>
      <c r="AC18" s="199"/>
      <c r="AE18" s="17">
        <f t="shared" si="6"/>
        <v>6</v>
      </c>
      <c r="AF18" s="126" t="s">
        <v>178</v>
      </c>
      <c r="AG18" s="126"/>
      <c r="AH18" s="196">
        <v>77335.22</v>
      </c>
      <c r="AI18" s="196">
        <v>9881617.66</v>
      </c>
      <c r="AJ18" s="188">
        <f t="shared" si="11"/>
        <v>9958952.88</v>
      </c>
      <c r="AK18" s="32">
        <f t="shared" si="7"/>
        <v>6</v>
      </c>
      <c r="AL18" s="32"/>
      <c r="AM18" s="32"/>
      <c r="AN18" s="32"/>
      <c r="AO18" s="32"/>
      <c r="AP18" s="107">
        <f t="shared" si="8"/>
        <v>6</v>
      </c>
      <c r="AQ18" s="90" t="s">
        <v>177</v>
      </c>
      <c r="AR18" s="89">
        <f>SUM(AR14:AR16)</f>
        <v>0</v>
      </c>
      <c r="AS18" s="89">
        <f>SUM(AS14:AS16)</f>
        <v>117130302.1673249</v>
      </c>
      <c r="AT18" s="89">
        <f>SUM(AT14:AT16)</f>
        <v>117130302.1673249</v>
      </c>
      <c r="AU18" s="17">
        <f t="shared" si="12"/>
        <v>6</v>
      </c>
      <c r="AV18" s="23" t="s">
        <v>176</v>
      </c>
      <c r="AW18" s="57">
        <v>-11889662.083333334</v>
      </c>
      <c r="AX18" s="57">
        <v>-10331527.550000008</v>
      </c>
      <c r="AY18" s="101">
        <f t="shared" si="9"/>
        <v>1558134.5333333258</v>
      </c>
      <c r="AZ18" s="17">
        <f t="shared" si="10"/>
        <v>6</v>
      </c>
      <c r="BB18" s="28"/>
      <c r="BC18" s="28"/>
      <c r="BD18" s="28"/>
    </row>
    <row r="19" spans="1:56" ht="14.25" thickBot="1" thickTop="1">
      <c r="A19" s="17">
        <f t="shared" si="1"/>
        <v>7</v>
      </c>
      <c r="B19" s="24" t="s">
        <v>175</v>
      </c>
      <c r="C19" s="15">
        <f>SUM(C13:C16)</f>
        <v>175217118.20999998</v>
      </c>
      <c r="D19" s="15">
        <f>SUM(D13:D16)</f>
        <v>18452912.176617105</v>
      </c>
      <c r="E19" s="15">
        <f>SUM(E13:E16)</f>
        <v>-156764206.03338292</v>
      </c>
      <c r="F19" s="107">
        <f t="shared" si="2"/>
        <v>7</v>
      </c>
      <c r="G19" s="198" t="s">
        <v>174</v>
      </c>
      <c r="H19" s="197">
        <f>SUM(H15:H18)</f>
        <v>42218.9275</v>
      </c>
      <c r="I19" s="197">
        <f>SUM(I15:I18)</f>
        <v>687752983.9709923</v>
      </c>
      <c r="J19" s="197">
        <f>SUM(J15:J18)</f>
        <v>687710765.0434923</v>
      </c>
      <c r="K19" s="107">
        <f t="shared" si="3"/>
        <v>7</v>
      </c>
      <c r="L19" s="151" t="s">
        <v>173</v>
      </c>
      <c r="N19" s="2">
        <v>17003226.09884615</v>
      </c>
      <c r="O19" s="148">
        <f>+N19-M19</f>
        <v>17003226.09884615</v>
      </c>
      <c r="P19" s="17">
        <f t="shared" si="0"/>
        <v>7</v>
      </c>
      <c r="R19" s="177"/>
      <c r="S19" s="177" t="s">
        <v>24</v>
      </c>
      <c r="T19" s="177" t="s">
        <v>24</v>
      </c>
      <c r="U19" s="17">
        <f t="shared" si="4"/>
        <v>7</v>
      </c>
      <c r="V19" s="142"/>
      <c r="W19" s="89"/>
      <c r="X19" s="89"/>
      <c r="Y19" s="89"/>
      <c r="Z19" s="17">
        <f t="shared" si="5"/>
        <v>7</v>
      </c>
      <c r="AA19" s="24" t="s">
        <v>172</v>
      </c>
      <c r="AB19" s="190">
        <v>0.35</v>
      </c>
      <c r="AC19" s="16"/>
      <c r="AD19" s="15">
        <f>AD17*AB19</f>
        <v>58433583.91499964</v>
      </c>
      <c r="AE19" s="17">
        <f t="shared" si="6"/>
        <v>7</v>
      </c>
      <c r="AF19" s="126" t="s">
        <v>171</v>
      </c>
      <c r="AG19" s="126"/>
      <c r="AH19" s="196">
        <v>41126.25</v>
      </c>
      <c r="AI19" s="196">
        <v>4617466.24</v>
      </c>
      <c r="AJ19" s="188">
        <f t="shared" si="11"/>
        <v>4658592.49</v>
      </c>
      <c r="AK19" s="32">
        <f t="shared" si="7"/>
        <v>7</v>
      </c>
      <c r="AL19" s="195" t="s">
        <v>170</v>
      </c>
      <c r="AM19" s="194"/>
      <c r="AN19" s="194"/>
      <c r="AO19" s="194"/>
      <c r="AP19" s="107">
        <f t="shared" si="8"/>
        <v>7</v>
      </c>
      <c r="AQ19" s="151"/>
      <c r="AR19" s="128"/>
      <c r="AS19" s="193"/>
      <c r="AT19" s="192"/>
      <c r="AU19" s="17">
        <f t="shared" si="12"/>
        <v>7</v>
      </c>
      <c r="AV19" s="23" t="s">
        <v>169</v>
      </c>
      <c r="AW19" s="57">
        <v>1394050.1595833332</v>
      </c>
      <c r="AX19" s="57">
        <v>0</v>
      </c>
      <c r="AY19" s="57">
        <f t="shared" si="9"/>
        <v>-1394050.1595833332</v>
      </c>
      <c r="AZ19" s="17">
        <f t="shared" si="10"/>
        <v>7</v>
      </c>
      <c r="BA19" s="3" t="s">
        <v>168</v>
      </c>
      <c r="BB19" s="12"/>
      <c r="BC19" s="12"/>
      <c r="BD19" s="12"/>
    </row>
    <row r="20" spans="1:56" ht="13.5" thickTop="1">
      <c r="A20" s="17">
        <f t="shared" si="1"/>
        <v>8</v>
      </c>
      <c r="C20" s="128"/>
      <c r="D20" s="128"/>
      <c r="E20" s="128"/>
      <c r="F20" s="107">
        <f t="shared" si="2"/>
        <v>8</v>
      </c>
      <c r="G20" s="142"/>
      <c r="H20" s="89"/>
      <c r="I20" s="89"/>
      <c r="J20" s="89"/>
      <c r="K20" s="107">
        <f t="shared" si="3"/>
        <v>8</v>
      </c>
      <c r="L20" s="184" t="s">
        <v>167</v>
      </c>
      <c r="N20" s="191">
        <v>-340064.52197692305</v>
      </c>
      <c r="O20" s="148">
        <f>+N20-M20</f>
        <v>-340064.52197692305</v>
      </c>
      <c r="P20" s="17">
        <f t="shared" si="0"/>
        <v>8</v>
      </c>
      <c r="Q20" s="24" t="s">
        <v>111</v>
      </c>
      <c r="R20" s="190">
        <v>0.35</v>
      </c>
      <c r="S20" s="16"/>
      <c r="T20" s="15">
        <f>-T18*R20</f>
        <v>-53945.96756499994</v>
      </c>
      <c r="U20" s="17">
        <f t="shared" si="4"/>
        <v>8</v>
      </c>
      <c r="V20" s="185" t="s">
        <v>127</v>
      </c>
      <c r="W20" s="187"/>
      <c r="X20" s="187"/>
      <c r="Y20" s="187"/>
      <c r="Z20" s="17">
        <f t="shared" si="5"/>
        <v>8</v>
      </c>
      <c r="AE20" s="17">
        <f t="shared" si="6"/>
        <v>8</v>
      </c>
      <c r="AF20" s="126" t="s">
        <v>166</v>
      </c>
      <c r="AG20" s="126"/>
      <c r="AH20" s="189">
        <v>152546.21</v>
      </c>
      <c r="AI20" s="189">
        <v>9338772.910000002</v>
      </c>
      <c r="AJ20" s="188">
        <f t="shared" si="11"/>
        <v>9491319.120000003</v>
      </c>
      <c r="AK20" s="32">
        <f t="shared" si="7"/>
        <v>8</v>
      </c>
      <c r="AL20" s="159" t="s">
        <v>165</v>
      </c>
      <c r="AM20" s="57"/>
      <c r="AN20" s="57"/>
      <c r="AO20" s="57">
        <f>+AN20-AM20</f>
        <v>0</v>
      </c>
      <c r="AP20" s="107">
        <f t="shared" si="8"/>
        <v>8</v>
      </c>
      <c r="AQ20" s="157" t="s">
        <v>164</v>
      </c>
      <c r="AR20" s="187"/>
      <c r="AS20" s="187"/>
      <c r="AT20" s="187"/>
      <c r="AU20" s="17">
        <f t="shared" si="12"/>
        <v>8</v>
      </c>
      <c r="AV20" s="23" t="s">
        <v>163</v>
      </c>
      <c r="AW20" s="57">
        <v>3605729.3916666666</v>
      </c>
      <c r="AX20" s="57">
        <v>0</v>
      </c>
      <c r="AY20" s="57">
        <f t="shared" si="9"/>
        <v>-3605729.3916666666</v>
      </c>
      <c r="AZ20" s="17">
        <f t="shared" si="10"/>
        <v>8</v>
      </c>
      <c r="BA20" s="24" t="s">
        <v>162</v>
      </c>
      <c r="BB20" s="12">
        <v>5050729.984971766</v>
      </c>
      <c r="BC20" s="12">
        <f>+BB20*-$BC$11</f>
        <v>-106014.82238455738</v>
      </c>
      <c r="BD20" s="12">
        <f>ROUND(+BC20*-$BD$11,0)</f>
        <v>37105</v>
      </c>
    </row>
    <row r="21" spans="1:56" ht="13.5" thickBot="1">
      <c r="A21" s="17">
        <f t="shared" si="1"/>
        <v>9</v>
      </c>
      <c r="B21" s="126" t="s">
        <v>161</v>
      </c>
      <c r="C21" s="186">
        <v>269007822.1246386</v>
      </c>
      <c r="D21" s="186">
        <f>'JHS-5.01(A)'!N17</f>
        <v>245941338.30070215</v>
      </c>
      <c r="E21" s="186">
        <f>D21-C21</f>
        <v>-23066483.823936462</v>
      </c>
      <c r="F21" s="107">
        <f t="shared" si="2"/>
        <v>9</v>
      </c>
      <c r="G21" s="185" t="s">
        <v>160</v>
      </c>
      <c r="H21" s="164"/>
      <c r="I21" s="164"/>
      <c r="J21" s="164"/>
      <c r="K21" s="107">
        <f t="shared" si="3"/>
        <v>9</v>
      </c>
      <c r="L21" s="184" t="s">
        <v>159</v>
      </c>
      <c r="M21" s="145"/>
      <c r="N21" s="146">
        <v>-5832106.55190423</v>
      </c>
      <c r="O21" s="183">
        <f>+N21-M21</f>
        <v>-5832106.55190423</v>
      </c>
      <c r="P21" s="17">
        <f t="shared" si="0"/>
        <v>9</v>
      </c>
      <c r="Q21" s="24" t="s">
        <v>37</v>
      </c>
      <c r="R21" s="103"/>
      <c r="S21" s="25"/>
      <c r="T21" s="35">
        <f>-T18-T20</f>
        <v>-100185.36833499989</v>
      </c>
      <c r="U21" s="17">
        <f t="shared" si="4"/>
        <v>9</v>
      </c>
      <c r="V21" s="136" t="s">
        <v>158</v>
      </c>
      <c r="W21" s="169">
        <v>275496.66</v>
      </c>
      <c r="X21" s="154"/>
      <c r="Y21" s="154">
        <f>+X21-W21</f>
        <v>-275496.66</v>
      </c>
      <c r="Z21" s="17">
        <f t="shared" si="5"/>
        <v>9</v>
      </c>
      <c r="AA21" s="24" t="s">
        <v>37</v>
      </c>
      <c r="AB21" s="103"/>
      <c r="AC21" s="25"/>
      <c r="AD21" s="35">
        <f>+AD17-AD19</f>
        <v>108519512.98499936</v>
      </c>
      <c r="AE21" s="17">
        <f t="shared" si="6"/>
        <v>9</v>
      </c>
      <c r="AF21" s="182" t="s">
        <v>157</v>
      </c>
      <c r="AG21" s="182"/>
      <c r="AH21" s="181">
        <f>SUM(AH15:AH20)</f>
        <v>1220576.19</v>
      </c>
      <c r="AI21" s="181">
        <f>SUM(AI15:AI20)</f>
        <v>46395832</v>
      </c>
      <c r="AJ21" s="180">
        <f>SUM(AJ15:AJ20)</f>
        <v>47616408.190000005</v>
      </c>
      <c r="AK21" s="32">
        <f t="shared" si="7"/>
        <v>9</v>
      </c>
      <c r="AL21" s="178" t="str">
        <f>"TAXABLE - SEE LINE "&amp;AK30&amp;" FOR TAX (LINE "&amp;AK30&amp;" ÷ 35%)"</f>
        <v>TAXABLE - SEE LINE 18 FOR TAX (LINE 18 ÷ 35%)</v>
      </c>
      <c r="AM21" s="57">
        <f>AO30/0.35</f>
        <v>14334285.714285715</v>
      </c>
      <c r="AN21" s="57">
        <v>0</v>
      </c>
      <c r="AO21" s="57">
        <f>AN21-AM21</f>
        <v>-14334285.714285715</v>
      </c>
      <c r="AP21" s="107">
        <f t="shared" si="8"/>
        <v>9</v>
      </c>
      <c r="AQ21" s="151" t="s">
        <v>156</v>
      </c>
      <c r="AR21" s="150">
        <v>0</v>
      </c>
      <c r="AS21" s="148">
        <v>18500000</v>
      </c>
      <c r="AT21" s="148">
        <f>+AS21-AR21</f>
        <v>18500000</v>
      </c>
      <c r="AU21" s="17">
        <f t="shared" si="12"/>
        <v>9</v>
      </c>
      <c r="AV21" s="23" t="s">
        <v>155</v>
      </c>
      <c r="AW21" s="57">
        <v>-326871.4633333333</v>
      </c>
      <c r="AX21" s="57">
        <v>0</v>
      </c>
      <c r="AY21" s="57">
        <f t="shared" si="9"/>
        <v>326871.4633333333</v>
      </c>
      <c r="AZ21" s="17">
        <f t="shared" si="10"/>
        <v>9</v>
      </c>
      <c r="BA21" s="24" t="s">
        <v>80</v>
      </c>
      <c r="BB21" s="52">
        <v>2835322</v>
      </c>
      <c r="BC21" s="52">
        <f>+BB21*-$BC$11</f>
        <v>-59513.408780000005</v>
      </c>
      <c r="BD21" s="52">
        <f>ROUND(+BC21*-$BD$11,0)</f>
        <v>20830</v>
      </c>
    </row>
    <row r="22" spans="1:81" ht="13.5" thickTop="1">
      <c r="A22" s="17">
        <f t="shared" si="1"/>
        <v>10</v>
      </c>
      <c r="B22" s="126"/>
      <c r="C22" s="179"/>
      <c r="D22" s="179"/>
      <c r="E22" s="179"/>
      <c r="F22" s="107">
        <f t="shared" si="2"/>
        <v>10</v>
      </c>
      <c r="G22" s="136" t="s">
        <v>154</v>
      </c>
      <c r="H22" s="169">
        <v>0</v>
      </c>
      <c r="I22" s="154">
        <v>28005152.767167408</v>
      </c>
      <c r="J22" s="154">
        <f>+I22-H22</f>
        <v>28005152.767167408</v>
      </c>
      <c r="K22" s="107">
        <f t="shared" si="3"/>
        <v>10</v>
      </c>
      <c r="L22" s="90" t="s">
        <v>153</v>
      </c>
      <c r="M22" s="89">
        <f>SUM(M19:M21)</f>
        <v>0</v>
      </c>
      <c r="N22" s="89">
        <f>SUM(N19:N21)</f>
        <v>10831055.024964996</v>
      </c>
      <c r="O22" s="89">
        <f>SUM(O19:O21)</f>
        <v>10831055.024964996</v>
      </c>
      <c r="P22" s="17"/>
      <c r="Q22" s="16"/>
      <c r="R22" s="25"/>
      <c r="S22" s="25"/>
      <c r="U22" s="17">
        <f t="shared" si="4"/>
        <v>10</v>
      </c>
      <c r="V22" s="23"/>
      <c r="W22" s="120"/>
      <c r="X22" s="120"/>
      <c r="Y22" s="120"/>
      <c r="Z22" s="17"/>
      <c r="AA22" s="82"/>
      <c r="AB22" s="31"/>
      <c r="AC22" s="31"/>
      <c r="AE22" s="17">
        <f t="shared" si="6"/>
        <v>10</v>
      </c>
      <c r="AH22" s="15"/>
      <c r="AI22" s="15"/>
      <c r="AJ22" s="15"/>
      <c r="AK22" s="32">
        <f t="shared" si="7"/>
        <v>10</v>
      </c>
      <c r="AL22" s="178" t="s">
        <v>152</v>
      </c>
      <c r="AM22" s="57">
        <v>16823714.285714284</v>
      </c>
      <c r="AN22" s="57">
        <v>0</v>
      </c>
      <c r="AO22" s="57">
        <f>AN22-AM22</f>
        <v>-16823714.285714284</v>
      </c>
      <c r="AP22" s="107">
        <f t="shared" si="8"/>
        <v>10</v>
      </c>
      <c r="AQ22" s="151" t="s">
        <v>151</v>
      </c>
      <c r="AR22" s="145">
        <v>0</v>
      </c>
      <c r="AS22" s="145">
        <v>0</v>
      </c>
      <c r="AT22" s="145">
        <f>+AS22-AR22</f>
        <v>0</v>
      </c>
      <c r="AU22" s="17">
        <f t="shared" si="12"/>
        <v>10</v>
      </c>
      <c r="AV22" s="23" t="s">
        <v>11</v>
      </c>
      <c r="AW22" s="57">
        <v>-2135222.4941666666</v>
      </c>
      <c r="AX22" s="57">
        <v>-1529461.682666667</v>
      </c>
      <c r="AY22" s="57">
        <f t="shared" si="9"/>
        <v>605760.8114999996</v>
      </c>
      <c r="AZ22" s="17">
        <f t="shared" si="10"/>
        <v>10</v>
      </c>
      <c r="BA22" s="24" t="s">
        <v>150</v>
      </c>
      <c r="BB22" s="28">
        <f>SUM(BB20:BB21)</f>
        <v>7886051.984971766</v>
      </c>
      <c r="BC22" s="28">
        <f>SUM(BC20:BC21)</f>
        <v>-165528.2311645574</v>
      </c>
      <c r="BD22" s="28">
        <f>SUM(BD20:BD21)</f>
        <v>57935</v>
      </c>
      <c r="BY22" s="23"/>
      <c r="BZ22" s="24"/>
      <c r="CA22" s="68"/>
      <c r="CB22" s="68"/>
      <c r="CC22" s="68"/>
    </row>
    <row r="23" spans="1:81" ht="13.5">
      <c r="A23" s="17">
        <f t="shared" si="1"/>
        <v>11</v>
      </c>
      <c r="B23" s="126" t="s">
        <v>149</v>
      </c>
      <c r="C23" s="31">
        <v>792862060.0733334</v>
      </c>
      <c r="D23" s="177">
        <f>'JHS-5.01(A)'!N19+'JHS-5.01(A)'!N21</f>
        <v>487666594.3074653</v>
      </c>
      <c r="E23" s="176">
        <f>D23-C23</f>
        <v>-305195465.76586807</v>
      </c>
      <c r="F23" s="107">
        <f t="shared" si="2"/>
        <v>11</v>
      </c>
      <c r="G23" s="136" t="s">
        <v>148</v>
      </c>
      <c r="H23" s="143"/>
      <c r="I23" s="144">
        <v>4933626.7856418565</v>
      </c>
      <c r="J23" s="144">
        <f>+I23-H23</f>
        <v>4933626.7856418565</v>
      </c>
      <c r="K23" s="107">
        <f t="shared" si="3"/>
        <v>11</v>
      </c>
      <c r="L23" s="90"/>
      <c r="M23" s="173"/>
      <c r="N23" s="172"/>
      <c r="O23" s="171"/>
      <c r="P23" s="23"/>
      <c r="T23" s="174"/>
      <c r="U23" s="17">
        <f t="shared" si="4"/>
        <v>11</v>
      </c>
      <c r="V23" s="121" t="s">
        <v>119</v>
      </c>
      <c r="W23" s="120"/>
      <c r="X23" s="120"/>
      <c r="Y23" s="120">
        <f>Y21</f>
        <v>-275496.66</v>
      </c>
      <c r="Z23" s="23"/>
      <c r="AA23" s="82"/>
      <c r="AB23" s="31"/>
      <c r="AC23" s="31"/>
      <c r="AD23" s="31"/>
      <c r="AE23" s="17">
        <f t="shared" si="6"/>
        <v>11</v>
      </c>
      <c r="AF23" s="3" t="s">
        <v>147</v>
      </c>
      <c r="AH23" s="62">
        <f>AH21/6</f>
        <v>203429.365</v>
      </c>
      <c r="AI23" s="62">
        <f>AI21/6</f>
        <v>7732638.666666667</v>
      </c>
      <c r="AJ23" s="12">
        <f>+AJ21/6</f>
        <v>7936068.031666667</v>
      </c>
      <c r="AK23" s="32">
        <f t="shared" si="7"/>
        <v>11</v>
      </c>
      <c r="AL23" s="159" t="s">
        <v>146</v>
      </c>
      <c r="AM23" s="158">
        <f>SUM(AM21:AM22)</f>
        <v>31158000</v>
      </c>
      <c r="AN23" s="158">
        <f>SUM(AN21:AN22)</f>
        <v>0</v>
      </c>
      <c r="AO23" s="158">
        <f>SUM(AO21:AO22)</f>
        <v>-31158000</v>
      </c>
      <c r="AP23" s="107">
        <f t="shared" si="8"/>
        <v>11</v>
      </c>
      <c r="AQ23" s="90" t="s">
        <v>145</v>
      </c>
      <c r="AR23" s="89">
        <f>SUM(AR21:AR22)</f>
        <v>0</v>
      </c>
      <c r="AS23" s="89">
        <f>SUM(AS21:AS22)</f>
        <v>18500000</v>
      </c>
      <c r="AT23" s="148">
        <f>+AS23-AR23</f>
        <v>18500000</v>
      </c>
      <c r="AU23" s="17">
        <f t="shared" si="12"/>
        <v>11</v>
      </c>
      <c r="AV23" s="23" t="s">
        <v>10</v>
      </c>
      <c r="AW23" s="57">
        <v>-2286406.038333334</v>
      </c>
      <c r="AX23" s="57">
        <v>-2096742.2330097083</v>
      </c>
      <c r="AY23" s="57">
        <f t="shared" si="9"/>
        <v>189663.80532362568</v>
      </c>
      <c r="AZ23" s="17">
        <f t="shared" si="10"/>
        <v>11</v>
      </c>
      <c r="BA23" s="24"/>
      <c r="BB23" s="28"/>
      <c r="BC23" s="28"/>
      <c r="BD23" s="28"/>
      <c r="BY23" s="17"/>
      <c r="BZ23" s="24"/>
      <c r="CA23" s="68"/>
      <c r="CB23" s="68"/>
      <c r="CC23" s="68"/>
    </row>
    <row r="24" spans="1:81" ht="14.25" thickBot="1">
      <c r="A24" s="17">
        <f t="shared" si="1"/>
        <v>12</v>
      </c>
      <c r="B24" s="126" t="s">
        <v>144</v>
      </c>
      <c r="C24" s="31">
        <v>0</v>
      </c>
      <c r="D24" s="177">
        <f>'JHS-5.01(A)'!N22</f>
        <v>1420907.408017</v>
      </c>
      <c r="E24" s="176">
        <f>D24-C24</f>
        <v>1420907.408017</v>
      </c>
      <c r="F24" s="107">
        <f t="shared" si="2"/>
        <v>12</v>
      </c>
      <c r="G24" s="136" t="s">
        <v>143</v>
      </c>
      <c r="H24" s="175">
        <f>SUM(H22:H23)</f>
        <v>0</v>
      </c>
      <c r="I24" s="175">
        <f>SUM(I22:I23)</f>
        <v>32938779.552809265</v>
      </c>
      <c r="J24" s="175">
        <f>SUM(J22:J23)</f>
        <v>32938779.552809265</v>
      </c>
      <c r="K24" s="107">
        <f t="shared" si="3"/>
        <v>12</v>
      </c>
      <c r="L24" s="167" t="s">
        <v>142</v>
      </c>
      <c r="M24" s="166">
        <f>M16+M22</f>
        <v>0</v>
      </c>
      <c r="N24" s="166">
        <f>N16+N22</f>
        <v>110538909.02496499</v>
      </c>
      <c r="O24" s="166">
        <f>O16+O22</f>
        <v>110538909.02496499</v>
      </c>
      <c r="T24" s="174"/>
      <c r="U24" s="17">
        <f t="shared" si="4"/>
        <v>12</v>
      </c>
      <c r="V24" s="121"/>
      <c r="W24" s="120"/>
      <c r="X24" s="120"/>
      <c r="Y24" s="120"/>
      <c r="Z24" s="17"/>
      <c r="AA24" s="82"/>
      <c r="AB24" s="31"/>
      <c r="AC24" s="31"/>
      <c r="AD24" s="31"/>
      <c r="AE24" s="17">
        <f t="shared" si="6"/>
        <v>12</v>
      </c>
      <c r="AH24" s="15"/>
      <c r="AI24" s="15"/>
      <c r="AJ24" s="15"/>
      <c r="AK24" s="32">
        <f t="shared" si="7"/>
        <v>12</v>
      </c>
      <c r="AL24" s="159"/>
      <c r="AM24" s="57"/>
      <c r="AN24" s="57"/>
      <c r="AO24" s="57"/>
      <c r="AP24" s="107">
        <f t="shared" si="8"/>
        <v>12</v>
      </c>
      <c r="AQ24" s="90"/>
      <c r="AR24" s="173"/>
      <c r="AS24" s="172"/>
      <c r="AT24" s="171"/>
      <c r="AU24" s="17">
        <f t="shared" si="12"/>
        <v>12</v>
      </c>
      <c r="AV24" s="23" t="s">
        <v>141</v>
      </c>
      <c r="AW24" s="57">
        <v>26616504.926249996</v>
      </c>
      <c r="AX24" s="57">
        <v>23180900.644329056</v>
      </c>
      <c r="AY24" s="57">
        <f t="shared" si="9"/>
        <v>-3435604.2819209397</v>
      </c>
      <c r="AZ24" s="17">
        <f t="shared" si="10"/>
        <v>12</v>
      </c>
      <c r="BA24" s="24" t="s">
        <v>140</v>
      </c>
      <c r="BY24" s="17"/>
      <c r="BZ24" s="24"/>
      <c r="CA24" s="68"/>
      <c r="CB24" s="68"/>
      <c r="CC24" s="68"/>
    </row>
    <row r="25" spans="1:81" ht="14.25" thickBot="1" thickTop="1">
      <c r="A25" s="17">
        <f t="shared" si="1"/>
        <v>13</v>
      </c>
      <c r="B25" s="126"/>
      <c r="C25" s="111"/>
      <c r="D25" s="170"/>
      <c r="E25" s="111"/>
      <c r="F25" s="107">
        <f t="shared" si="2"/>
        <v>13</v>
      </c>
      <c r="G25" s="136"/>
      <c r="H25" s="169"/>
      <c r="I25" s="154"/>
      <c r="J25" s="154"/>
      <c r="K25" s="107">
        <f t="shared" si="3"/>
        <v>13</v>
      </c>
      <c r="L25" s="142"/>
      <c r="M25" s="89"/>
      <c r="N25" s="89"/>
      <c r="O25" s="89"/>
      <c r="U25" s="17">
        <f t="shared" si="4"/>
        <v>13</v>
      </c>
      <c r="V25" s="23" t="s">
        <v>88</v>
      </c>
      <c r="W25" s="31"/>
      <c r="X25" s="112">
        <v>0.35</v>
      </c>
      <c r="Y25" s="111">
        <f>ROUND(-Y23*$X$25,0)</f>
        <v>96424</v>
      </c>
      <c r="Z25" s="17"/>
      <c r="AA25" s="82"/>
      <c r="AB25" s="31"/>
      <c r="AC25" s="168"/>
      <c r="AD25" s="31"/>
      <c r="AE25" s="17">
        <f t="shared" si="6"/>
        <v>13</v>
      </c>
      <c r="AF25" s="23" t="s">
        <v>139</v>
      </c>
      <c r="AG25" s="23"/>
      <c r="AH25" s="15"/>
      <c r="AI25" s="15"/>
      <c r="AJ25" s="15"/>
      <c r="AK25" s="32">
        <f t="shared" si="7"/>
        <v>13</v>
      </c>
      <c r="AL25" s="159" t="s">
        <v>138</v>
      </c>
      <c r="AM25" s="57">
        <v>6374000</v>
      </c>
      <c r="AN25" s="57">
        <f>SUM(AN4:AN20)</f>
        <v>0</v>
      </c>
      <c r="AO25" s="57">
        <f>AN25-AM25</f>
        <v>-6374000</v>
      </c>
      <c r="AP25" s="107">
        <f t="shared" si="8"/>
        <v>13</v>
      </c>
      <c r="AQ25" s="167" t="s">
        <v>137</v>
      </c>
      <c r="AR25" s="166">
        <f>AR18+AR23</f>
        <v>0</v>
      </c>
      <c r="AS25" s="166">
        <f>AS18+AS23</f>
        <v>135630302.1673249</v>
      </c>
      <c r="AT25" s="166">
        <f>AT18+AT23</f>
        <v>135630302.1673249</v>
      </c>
      <c r="AU25" s="17">
        <f t="shared" si="12"/>
        <v>13</v>
      </c>
      <c r="AV25" s="23" t="s">
        <v>136</v>
      </c>
      <c r="AW25" s="57">
        <v>2331479.35875</v>
      </c>
      <c r="AX25" s="57">
        <v>0</v>
      </c>
      <c r="AY25" s="57">
        <f t="shared" si="9"/>
        <v>-2331479.35875</v>
      </c>
      <c r="AZ25" s="17">
        <f t="shared" si="10"/>
        <v>13</v>
      </c>
      <c r="BA25" s="24" t="s">
        <v>135</v>
      </c>
      <c r="BB25" s="12">
        <v>95848018.89280927</v>
      </c>
      <c r="BC25" s="12">
        <f>+BB25*-$BC$11</f>
        <v>-2011849.9165600669</v>
      </c>
      <c r="BD25" s="12">
        <v>820843.2903994054</v>
      </c>
      <c r="BY25" s="17"/>
      <c r="BZ25" s="24"/>
      <c r="CA25" s="24"/>
      <c r="CB25" s="24"/>
      <c r="CC25" s="68"/>
    </row>
    <row r="26" spans="1:81" ht="14.25" thickBot="1" thickTop="1">
      <c r="A26" s="17">
        <f t="shared" si="1"/>
        <v>14</v>
      </c>
      <c r="B26" s="126" t="s">
        <v>134</v>
      </c>
      <c r="C26" s="14">
        <f>SUM(C23:C25)</f>
        <v>792862060.0733334</v>
      </c>
      <c r="D26" s="14">
        <f>SUM(D23:D25)</f>
        <v>489087501.7154823</v>
      </c>
      <c r="E26" s="14">
        <f>SUM(E23:E25)</f>
        <v>-303774558.3578511</v>
      </c>
      <c r="F26" s="107">
        <f t="shared" si="2"/>
        <v>14</v>
      </c>
      <c r="G26" s="165"/>
      <c r="H26" s="164"/>
      <c r="I26" s="164"/>
      <c r="J26" s="164"/>
      <c r="K26" s="107">
        <f t="shared" si="3"/>
        <v>14</v>
      </c>
      <c r="L26" s="163" t="s">
        <v>127</v>
      </c>
      <c r="M26" s="156"/>
      <c r="N26" s="156"/>
      <c r="O26" s="156"/>
      <c r="U26" s="17">
        <f t="shared" si="4"/>
        <v>14</v>
      </c>
      <c r="V26" s="23" t="s">
        <v>37</v>
      </c>
      <c r="W26" s="38"/>
      <c r="X26" s="38"/>
      <c r="Y26" s="106">
        <f>-Y23-Y25</f>
        <v>179072.65999999997</v>
      </c>
      <c r="Z26" s="17"/>
      <c r="AA26" s="82"/>
      <c r="AB26" s="31"/>
      <c r="AC26" s="31"/>
      <c r="AD26" s="31"/>
      <c r="AE26" s="17">
        <f t="shared" si="6"/>
        <v>14</v>
      </c>
      <c r="AF26" s="162" t="s">
        <v>133</v>
      </c>
      <c r="AG26" s="162"/>
      <c r="AH26" s="52">
        <f>AH20</f>
        <v>152546.21</v>
      </c>
      <c r="AI26" s="52">
        <f>AI20</f>
        <v>9338772.910000002</v>
      </c>
      <c r="AJ26" s="52">
        <f>AJ20</f>
        <v>9491319.120000003</v>
      </c>
      <c r="AK26" s="32">
        <f t="shared" si="7"/>
        <v>14</v>
      </c>
      <c r="AL26" s="159" t="s">
        <v>132</v>
      </c>
      <c r="AM26" s="57"/>
      <c r="AN26" s="57">
        <v>0</v>
      </c>
      <c r="AO26" s="57">
        <f>AN26-AM26</f>
        <v>0</v>
      </c>
      <c r="AP26" s="107">
        <f t="shared" si="8"/>
        <v>14</v>
      </c>
      <c r="AQ26" s="142"/>
      <c r="AR26" s="89"/>
      <c r="AS26" s="89"/>
      <c r="AT26" s="89"/>
      <c r="AU26" s="17">
        <f t="shared" si="12"/>
        <v>14</v>
      </c>
      <c r="AV26" s="23" t="s">
        <v>8</v>
      </c>
      <c r="AW26" s="57">
        <v>5000000</v>
      </c>
      <c r="AX26" s="57">
        <v>3981481.4814814813</v>
      </c>
      <c r="AY26" s="57">
        <f t="shared" si="9"/>
        <v>-1018518.5185185187</v>
      </c>
      <c r="AZ26" s="17">
        <f t="shared" si="10"/>
        <v>14</v>
      </c>
      <c r="BA26" s="24" t="s">
        <v>131</v>
      </c>
      <c r="BB26" s="15">
        <v>11264042.39</v>
      </c>
      <c r="BC26" s="15">
        <f>+BB26*-$BC$11</f>
        <v>-236432.24976610002</v>
      </c>
      <c r="BD26" s="15">
        <v>80107.1490876692</v>
      </c>
      <c r="BY26" s="17"/>
      <c r="BZ26" s="24"/>
      <c r="CA26" s="24"/>
      <c r="CB26" s="24"/>
      <c r="CC26" s="68"/>
    </row>
    <row r="27" spans="1:81" ht="13.5" thickTop="1">
      <c r="A27" s="17">
        <f t="shared" si="1"/>
        <v>15</v>
      </c>
      <c r="B27" s="126" t="s">
        <v>86</v>
      </c>
      <c r="C27" s="31">
        <v>76487810.82999991</v>
      </c>
      <c r="D27" s="31">
        <f>'JHS-5.01(A)'!N25</f>
        <v>87974703.479011</v>
      </c>
      <c r="E27" s="31">
        <f>D27-C27</f>
        <v>11486892.64901109</v>
      </c>
      <c r="F27" s="107">
        <f t="shared" si="2"/>
        <v>15</v>
      </c>
      <c r="G27" s="161" t="s">
        <v>130</v>
      </c>
      <c r="H27" s="155"/>
      <c r="I27" s="160"/>
      <c r="J27" s="155"/>
      <c r="K27" s="107">
        <f t="shared" si="3"/>
        <v>15</v>
      </c>
      <c r="L27" s="151" t="s">
        <v>129</v>
      </c>
      <c r="M27" s="150">
        <v>0</v>
      </c>
      <c r="N27" s="149"/>
      <c r="O27" s="148">
        <f>+N27-M27</f>
        <v>0</v>
      </c>
      <c r="P27" s="100"/>
      <c r="Z27" s="17"/>
      <c r="AB27" s="31"/>
      <c r="AC27" s="12"/>
      <c r="AD27" s="12"/>
      <c r="AE27" s="17">
        <f t="shared" si="6"/>
        <v>15</v>
      </c>
      <c r="AH27" s="15"/>
      <c r="AI27" s="15"/>
      <c r="AJ27" s="15"/>
      <c r="AK27" s="32">
        <f t="shared" si="7"/>
        <v>15</v>
      </c>
      <c r="AL27" s="159" t="s">
        <v>128</v>
      </c>
      <c r="AM27" s="158">
        <f>SUM(AM25:AM26)</f>
        <v>6374000</v>
      </c>
      <c r="AN27" s="158">
        <f>SUM(AN25:AN26)</f>
        <v>0</v>
      </c>
      <c r="AO27" s="158">
        <f>SUM(AO25:AO26)</f>
        <v>-6374000</v>
      </c>
      <c r="AP27" s="107">
        <f t="shared" si="8"/>
        <v>15</v>
      </c>
      <c r="AQ27" s="157" t="s">
        <v>127</v>
      </c>
      <c r="AR27" s="156"/>
      <c r="AS27" s="156"/>
      <c r="AT27" s="156"/>
      <c r="AU27" s="17">
        <f t="shared" si="12"/>
        <v>15</v>
      </c>
      <c r="AV27" s="23" t="s">
        <v>126</v>
      </c>
      <c r="AW27" s="57">
        <v>0</v>
      </c>
      <c r="AX27" s="57">
        <v>1193197.5</v>
      </c>
      <c r="AY27" s="57">
        <f t="shared" si="9"/>
        <v>1193197.5</v>
      </c>
      <c r="AZ27" s="17">
        <f t="shared" si="10"/>
        <v>15</v>
      </c>
      <c r="BA27" s="24" t="s">
        <v>125</v>
      </c>
      <c r="BB27" s="28">
        <f>SUM(BB25:BB26)</f>
        <v>107112061.28280927</v>
      </c>
      <c r="BC27" s="28">
        <f>SUM(BC25:BC26)</f>
        <v>-2248282.166326167</v>
      </c>
      <c r="BD27" s="28">
        <f>SUM(BD25:BD26)</f>
        <v>900950.4394870746</v>
      </c>
      <c r="BY27" s="17"/>
      <c r="BZ27" s="24"/>
      <c r="CA27" s="24"/>
      <c r="CB27" s="24"/>
      <c r="CC27" s="68"/>
    </row>
    <row r="28" spans="1:81" ht="12.75">
      <c r="A28" s="17">
        <f t="shared" si="1"/>
        <v>16</v>
      </c>
      <c r="C28" s="31"/>
      <c r="D28" s="31"/>
      <c r="E28" s="30">
        <f>D28-C28</f>
        <v>0</v>
      </c>
      <c r="F28" s="107">
        <f t="shared" si="2"/>
        <v>16</v>
      </c>
      <c r="G28" s="136" t="s">
        <v>89</v>
      </c>
      <c r="H28" s="155"/>
      <c r="I28" s="154">
        <v>776099</v>
      </c>
      <c r="J28" s="154">
        <f>+I28-H28</f>
        <v>776099</v>
      </c>
      <c r="K28" s="107">
        <f t="shared" si="3"/>
        <v>16</v>
      </c>
      <c r="L28" s="153" t="s">
        <v>124</v>
      </c>
      <c r="M28" s="120">
        <v>0</v>
      </c>
      <c r="N28" s="120">
        <v>680129.0439538461</v>
      </c>
      <c r="O28" s="148">
        <f>+N28-M28</f>
        <v>680129.0439538461</v>
      </c>
      <c r="P28" s="100"/>
      <c r="Q28" s="17"/>
      <c r="R28" s="17"/>
      <c r="Z28" s="17"/>
      <c r="AA28" s="82"/>
      <c r="AB28" s="31"/>
      <c r="AC28" s="31"/>
      <c r="AD28" s="31"/>
      <c r="AE28" s="17">
        <f t="shared" si="6"/>
        <v>16</v>
      </c>
      <c r="AF28" s="69" t="s">
        <v>123</v>
      </c>
      <c r="AG28" s="69"/>
      <c r="AH28" s="212">
        <f>AH23-AH26</f>
        <v>50883.155</v>
      </c>
      <c r="AI28" s="212">
        <f>AI23-AI26</f>
        <v>-1606134.243333335</v>
      </c>
      <c r="AJ28" s="211">
        <f>AJ23-AJ26</f>
        <v>-1555251.0883333357</v>
      </c>
      <c r="AK28" s="32">
        <f t="shared" si="7"/>
        <v>16</v>
      </c>
      <c r="AL28" s="152"/>
      <c r="AM28" s="16"/>
      <c r="AN28" s="16"/>
      <c r="AO28" s="16"/>
      <c r="AP28" s="107">
        <f t="shared" si="8"/>
        <v>16</v>
      </c>
      <c r="AQ28" s="151" t="s">
        <v>122</v>
      </c>
      <c r="AR28" s="390">
        <v>0</v>
      </c>
      <c r="AS28" s="391">
        <v>7088065.589499994</v>
      </c>
      <c r="AT28" s="204">
        <f>+AS28-AR28</f>
        <v>7088065.589499994</v>
      </c>
      <c r="AU28" s="17">
        <f t="shared" si="12"/>
        <v>16</v>
      </c>
      <c r="AV28" s="23" t="s">
        <v>121</v>
      </c>
      <c r="AW28" s="57"/>
      <c r="AX28" s="57"/>
      <c r="AY28" s="57">
        <f t="shared" si="9"/>
        <v>0</v>
      </c>
      <c r="AZ28" s="17">
        <f t="shared" si="10"/>
        <v>16</v>
      </c>
      <c r="BB28" s="28"/>
      <c r="BC28" s="28"/>
      <c r="BD28" s="28"/>
      <c r="BY28" s="17"/>
      <c r="BZ28" s="10"/>
      <c r="CA28" s="10"/>
      <c r="CB28" s="10"/>
      <c r="CC28" s="10"/>
    </row>
    <row r="29" spans="1:81" ht="12.75">
      <c r="A29" s="17">
        <f t="shared" si="1"/>
        <v>17</v>
      </c>
      <c r="B29" s="3" t="s">
        <v>120</v>
      </c>
      <c r="C29" s="147">
        <f>C21+C26+C27+C28</f>
        <v>1138357693.027972</v>
      </c>
      <c r="D29" s="147">
        <f>D21+D26+D27+D28</f>
        <v>823003543.4951954</v>
      </c>
      <c r="E29" s="147">
        <f>E21+E26+E27+E28</f>
        <v>-315354149.5327765</v>
      </c>
      <c r="F29" s="107">
        <f t="shared" si="2"/>
        <v>17</v>
      </c>
      <c r="G29" s="136" t="s">
        <v>86</v>
      </c>
      <c r="H29" s="120"/>
      <c r="I29" s="120">
        <v>9922939</v>
      </c>
      <c r="J29" s="120">
        <f>+I29-H29</f>
        <v>9922939</v>
      </c>
      <c r="K29" s="107">
        <f t="shared" si="3"/>
        <v>17</v>
      </c>
      <c r="L29" s="132"/>
      <c r="M29" s="146"/>
      <c r="N29" s="146"/>
      <c r="O29" s="145"/>
      <c r="P29" s="100"/>
      <c r="Q29" s="17"/>
      <c r="R29" s="17"/>
      <c r="Z29" s="17"/>
      <c r="AA29" s="82"/>
      <c r="AB29" s="31"/>
      <c r="AC29" s="31"/>
      <c r="AD29" s="31"/>
      <c r="AE29" s="17">
        <f t="shared" si="6"/>
        <v>17</v>
      </c>
      <c r="AF29" s="69"/>
      <c r="AG29" s="69"/>
      <c r="AH29" s="15"/>
      <c r="AI29" s="15"/>
      <c r="AJ29" s="15"/>
      <c r="AK29" s="32">
        <f t="shared" si="7"/>
        <v>17</v>
      </c>
      <c r="AL29" s="121" t="s">
        <v>119</v>
      </c>
      <c r="AM29" s="16"/>
      <c r="AN29" s="50"/>
      <c r="AO29" s="57">
        <f>+AO27+AO23</f>
        <v>-37532000</v>
      </c>
      <c r="AP29" s="107">
        <f t="shared" si="8"/>
        <v>17</v>
      </c>
      <c r="AQ29" s="51" t="s">
        <v>42</v>
      </c>
      <c r="AR29" s="392">
        <f>SUM(AR28:AR28)</f>
        <v>0</v>
      </c>
      <c r="AS29" s="392">
        <f>SUM(AS28:AS28)</f>
        <v>7088065.589499994</v>
      </c>
      <c r="AT29" s="392">
        <f>SUM(AT28:AT28)</f>
        <v>7088065.589499994</v>
      </c>
      <c r="AU29" s="17">
        <f t="shared" si="12"/>
        <v>17</v>
      </c>
      <c r="AV29" s="23" t="s">
        <v>62</v>
      </c>
      <c r="AW29" s="57">
        <v>82650.67375</v>
      </c>
      <c r="AX29" s="57">
        <v>82650.67375</v>
      </c>
      <c r="AY29" s="57">
        <f t="shared" si="9"/>
        <v>0</v>
      </c>
      <c r="AZ29" s="17">
        <f t="shared" si="10"/>
        <v>17</v>
      </c>
      <c r="BA29" s="24" t="s">
        <v>118</v>
      </c>
      <c r="BB29" s="12"/>
      <c r="BC29" s="12"/>
      <c r="BD29" s="12"/>
      <c r="BY29" s="17"/>
      <c r="BZ29" s="3"/>
      <c r="CA29" s="3"/>
      <c r="CB29" s="3"/>
      <c r="CC29" s="3"/>
    </row>
    <row r="30" spans="1:81" ht="12.75">
      <c r="A30" s="17">
        <f t="shared" si="1"/>
        <v>18</v>
      </c>
      <c r="B30" s="4" t="s">
        <v>117</v>
      </c>
      <c r="C30" s="30">
        <v>101194084.30131838</v>
      </c>
      <c r="D30" s="30">
        <f>'JHS-5.01(A)'!N27</f>
        <v>115053359.60550204</v>
      </c>
      <c r="E30" s="30">
        <f>D30-C30</f>
        <v>13859275.304183662</v>
      </c>
      <c r="F30" s="107">
        <f t="shared" si="2"/>
        <v>18</v>
      </c>
      <c r="G30" s="136" t="s">
        <v>81</v>
      </c>
      <c r="H30" s="120">
        <v>0</v>
      </c>
      <c r="I30" s="120">
        <v>10891023</v>
      </c>
      <c r="J30" s="144">
        <f>+I30-H30</f>
        <v>10891023</v>
      </c>
      <c r="K30" s="107">
        <f t="shared" si="3"/>
        <v>18</v>
      </c>
      <c r="L30" s="51" t="s">
        <v>42</v>
      </c>
      <c r="M30" s="120">
        <f>M27+M28</f>
        <v>0</v>
      </c>
      <c r="N30" s="120">
        <f>N27+N28</f>
        <v>680129.0439538461</v>
      </c>
      <c r="O30" s="120">
        <f>O27+O28</f>
        <v>680129.0439538461</v>
      </c>
      <c r="AB30" s="15"/>
      <c r="AC30" s="15"/>
      <c r="AD30" s="15"/>
      <c r="AE30" s="17">
        <f t="shared" si="6"/>
        <v>18</v>
      </c>
      <c r="AH30" s="15"/>
      <c r="AI30" s="15"/>
      <c r="AJ30" s="15"/>
      <c r="AK30" s="32">
        <f t="shared" si="7"/>
        <v>18</v>
      </c>
      <c r="AL30" s="23" t="str">
        <f>"INCREASE (DECREASE) FIT (ON LINE "&amp;AK21&amp;")"</f>
        <v>INCREASE (DECREASE) FIT (ON LINE 9)</v>
      </c>
      <c r="AM30" s="16"/>
      <c r="AN30" s="50"/>
      <c r="AO30" s="57">
        <v>5017000</v>
      </c>
      <c r="AP30" s="107">
        <f t="shared" si="8"/>
        <v>18</v>
      </c>
      <c r="AQ30" s="142"/>
      <c r="AR30" s="120"/>
      <c r="AS30" s="120"/>
      <c r="AT30" s="120"/>
      <c r="AU30" s="17">
        <f t="shared" si="12"/>
        <v>18</v>
      </c>
      <c r="AV30" s="23" t="s">
        <v>59</v>
      </c>
      <c r="AW30" s="57">
        <v>212105.57</v>
      </c>
      <c r="AX30" s="57">
        <v>212105.57</v>
      </c>
      <c r="AY30" s="57">
        <f t="shared" si="9"/>
        <v>0</v>
      </c>
      <c r="AZ30" s="17">
        <f t="shared" si="10"/>
        <v>18</v>
      </c>
      <c r="BA30" s="24" t="s">
        <v>116</v>
      </c>
      <c r="BB30" s="15">
        <v>7396041</v>
      </c>
      <c r="BC30" s="15">
        <f>+BB30*-$BC$11</f>
        <v>-155242.90059</v>
      </c>
      <c r="BD30" s="15">
        <f>ROUND(+BC30*-$BD$11,0)</f>
        <v>54335</v>
      </c>
      <c r="BY30" s="17"/>
      <c r="BZ30" s="3"/>
      <c r="CA30" s="3"/>
      <c r="CB30" s="3"/>
      <c r="CC30" s="3"/>
    </row>
    <row r="31" spans="1:81" ht="12.75">
      <c r="A31" s="17">
        <f t="shared" si="1"/>
        <v>19</v>
      </c>
      <c r="B31" s="126" t="s">
        <v>115</v>
      </c>
      <c r="C31" s="111">
        <v>1419634.77</v>
      </c>
      <c r="D31" s="111">
        <f>'JHS-5.01(A)'!N29</f>
        <v>1662797.5177394</v>
      </c>
      <c r="E31" s="111">
        <f>D31-C31</f>
        <v>243162.74773940002</v>
      </c>
      <c r="F31" s="107">
        <f t="shared" si="2"/>
        <v>19</v>
      </c>
      <c r="G31" s="136" t="s">
        <v>80</v>
      </c>
      <c r="H31" s="143">
        <v>0</v>
      </c>
      <c r="I31" s="120">
        <v>517500.681183602</v>
      </c>
      <c r="J31" s="120">
        <f>+I31-H31</f>
        <v>517500.681183602</v>
      </c>
      <c r="K31" s="107">
        <f t="shared" si="3"/>
        <v>19</v>
      </c>
      <c r="L31" s="142"/>
      <c r="M31" s="120"/>
      <c r="N31" s="120"/>
      <c r="O31" s="120"/>
      <c r="T31" s="4"/>
      <c r="AB31" s="15"/>
      <c r="AC31" s="15"/>
      <c r="AD31" s="15"/>
      <c r="AE31" s="17">
        <f t="shared" si="6"/>
        <v>19</v>
      </c>
      <c r="AF31" s="141" t="s">
        <v>114</v>
      </c>
      <c r="AG31" s="141"/>
      <c r="AH31" s="140"/>
      <c r="AI31" s="140"/>
      <c r="AJ31" s="15"/>
      <c r="AK31" s="32">
        <f t="shared" si="7"/>
        <v>19</v>
      </c>
      <c r="AL31" s="23" t="str">
        <f>"INCREASE (DECREASE) FIT (ON LINE "&amp;AK27&amp;")"</f>
        <v>INCREASE (DECREASE) FIT (ON LINE 15)</v>
      </c>
      <c r="AM31" s="16"/>
      <c r="AN31" s="50">
        <v>0.35</v>
      </c>
      <c r="AO31" s="139">
        <f>-AO27*AN31</f>
        <v>2230900</v>
      </c>
      <c r="AP31" s="107">
        <f t="shared" si="8"/>
        <v>19</v>
      </c>
      <c r="AQ31" s="132" t="s">
        <v>111</v>
      </c>
      <c r="AR31" s="134"/>
      <c r="AS31" s="112">
        <v>0.35</v>
      </c>
      <c r="AT31" s="111">
        <f>ROUND(-AT29*AS31,0)</f>
        <v>-2480823</v>
      </c>
      <c r="AU31" s="17">
        <f t="shared" si="12"/>
        <v>19</v>
      </c>
      <c r="AV31" s="23" t="s">
        <v>56</v>
      </c>
      <c r="AW31" s="57">
        <v>590967.0900000001</v>
      </c>
      <c r="AX31" s="57">
        <v>590967.0900000001</v>
      </c>
      <c r="AY31" s="57">
        <f t="shared" si="9"/>
        <v>0</v>
      </c>
      <c r="AZ31" s="17">
        <f t="shared" si="10"/>
        <v>19</v>
      </c>
      <c r="BA31" s="24" t="s">
        <v>113</v>
      </c>
      <c r="BB31" s="15">
        <v>7977272</v>
      </c>
      <c r="BC31" s="15">
        <f>+BB31*-$BC$11</f>
        <v>-167442.93928000002</v>
      </c>
      <c r="BD31" s="15">
        <f>ROUND(+BC31*-$BD$11,0)</f>
        <v>58605</v>
      </c>
      <c r="BY31" s="17"/>
      <c r="BZ31" s="138"/>
      <c r="CA31" s="138"/>
      <c r="CB31" s="138"/>
      <c r="CC31" s="138"/>
    </row>
    <row r="32" spans="1:77" ht="13.5" thickBot="1">
      <c r="A32" s="17">
        <f t="shared" si="1"/>
        <v>20</v>
      </c>
      <c r="E32" s="137"/>
      <c r="F32" s="107">
        <f t="shared" si="2"/>
        <v>20</v>
      </c>
      <c r="G32" s="136" t="s">
        <v>112</v>
      </c>
      <c r="H32" s="135"/>
      <c r="I32" s="135">
        <v>2967100.906250939</v>
      </c>
      <c r="J32" s="135">
        <f>+I32-H32</f>
        <v>2967100.906250939</v>
      </c>
      <c r="K32" s="107">
        <f t="shared" si="3"/>
        <v>20</v>
      </c>
      <c r="L32" s="132" t="s">
        <v>111</v>
      </c>
      <c r="M32" s="134"/>
      <c r="N32" s="112">
        <v>0.35</v>
      </c>
      <c r="O32" s="111">
        <f>ROUND(-O30*N32,0)</f>
        <v>-238045</v>
      </c>
      <c r="T32" s="10"/>
      <c r="AB32" s="15"/>
      <c r="AC32" s="15"/>
      <c r="AD32" s="15"/>
      <c r="AE32" s="17">
        <f t="shared" si="6"/>
        <v>20</v>
      </c>
      <c r="AF32" s="93" t="s">
        <v>110</v>
      </c>
      <c r="AG32" s="93"/>
      <c r="AH32" s="133"/>
      <c r="AI32" s="133"/>
      <c r="AJ32" s="15"/>
      <c r="AK32" s="32">
        <f t="shared" si="7"/>
        <v>20</v>
      </c>
      <c r="AL32" s="23" t="s">
        <v>37</v>
      </c>
      <c r="AM32" s="16"/>
      <c r="AP32" s="107">
        <f t="shared" si="8"/>
        <v>20</v>
      </c>
      <c r="AQ32" s="132" t="s">
        <v>37</v>
      </c>
      <c r="AR32" s="131"/>
      <c r="AS32" s="131"/>
      <c r="AT32" s="106">
        <f>-AT29-AT31</f>
        <v>-4607242.589499994</v>
      </c>
      <c r="AU32" s="17">
        <f t="shared" si="12"/>
        <v>20</v>
      </c>
      <c r="AV32" s="23" t="s">
        <v>53</v>
      </c>
      <c r="AW32" s="57">
        <v>62507.86666666667</v>
      </c>
      <c r="AX32" s="57">
        <v>62507.86666666667</v>
      </c>
      <c r="AY32" s="57">
        <f t="shared" si="9"/>
        <v>0</v>
      </c>
      <c r="AZ32" s="17">
        <f t="shared" si="10"/>
        <v>20</v>
      </c>
      <c r="BA32" s="24" t="s">
        <v>109</v>
      </c>
      <c r="BB32" s="15">
        <f>+T16</f>
        <v>1696225.5658999998</v>
      </c>
      <c r="BC32" s="15">
        <f>+BB32*-$BC$11</f>
        <v>-35603.774628241</v>
      </c>
      <c r="BD32" s="15">
        <f>ROUND(+BC32*-$BD$11,0)</f>
        <v>12461</v>
      </c>
      <c r="BY32" s="17"/>
    </row>
    <row r="33" spans="1:77" ht="14.25" thickBot="1" thickTop="1">
      <c r="A33" s="17">
        <f t="shared" si="1"/>
        <v>21</v>
      </c>
      <c r="B33" s="24" t="s">
        <v>108</v>
      </c>
      <c r="C33" s="14">
        <f>SUM(C29:C31)</f>
        <v>1240971412.0992904</v>
      </c>
      <c r="D33" s="14">
        <f>SUM(D29:D31)</f>
        <v>939719700.6184368</v>
      </c>
      <c r="E33" s="14">
        <f>SUM(E29:E31)</f>
        <v>-301251711.48085344</v>
      </c>
      <c r="F33" s="107">
        <f t="shared" si="2"/>
        <v>21</v>
      </c>
      <c r="G33" s="23" t="s">
        <v>107</v>
      </c>
      <c r="H33" s="120">
        <f>SUM(H28:H32)</f>
        <v>0</v>
      </c>
      <c r="I33" s="120">
        <f>SUM(I28:I32)</f>
        <v>25074662.58743454</v>
      </c>
      <c r="J33" s="120">
        <f>SUM(J28:J32)</f>
        <v>25074662.58743454</v>
      </c>
      <c r="K33" s="107">
        <f t="shared" si="3"/>
        <v>21</v>
      </c>
      <c r="L33" s="132" t="s">
        <v>37</v>
      </c>
      <c r="M33" s="131"/>
      <c r="N33" s="131"/>
      <c r="O33" s="106">
        <f>-O30-O32</f>
        <v>-442084.0439538461</v>
      </c>
      <c r="T33" s="10"/>
      <c r="AB33" s="15"/>
      <c r="AC33" s="15"/>
      <c r="AD33" s="15"/>
      <c r="AE33" s="17">
        <f t="shared" si="6"/>
        <v>21</v>
      </c>
      <c r="AF33" s="3" t="s">
        <v>106</v>
      </c>
      <c r="AK33" s="32">
        <f t="shared" si="7"/>
        <v>21</v>
      </c>
      <c r="AL33" s="130" t="s">
        <v>105</v>
      </c>
      <c r="AM33" s="16"/>
      <c r="AO33" s="40">
        <f>-AO29-AO31-AO30</f>
        <v>30284100</v>
      </c>
      <c r="AQ33" s="124"/>
      <c r="AR33" s="123"/>
      <c r="AS33" s="123"/>
      <c r="AT33" s="123"/>
      <c r="AU33" s="17">
        <f t="shared" si="12"/>
        <v>21</v>
      </c>
      <c r="AV33" s="23" t="s">
        <v>50</v>
      </c>
      <c r="AW33" s="129">
        <v>678973.4266666666</v>
      </c>
      <c r="AX33" s="129">
        <v>678973.4266666666</v>
      </c>
      <c r="AY33" s="129">
        <f t="shared" si="9"/>
        <v>0</v>
      </c>
      <c r="AZ33" s="17">
        <f t="shared" si="10"/>
        <v>21</v>
      </c>
      <c r="BA33" s="24" t="s">
        <v>104</v>
      </c>
      <c r="BB33" s="15">
        <v>2036377.1431809925</v>
      </c>
      <c r="BC33" s="15">
        <f>+BB33*-$BC$11</f>
        <v>-42743.55623536903</v>
      </c>
      <c r="BD33" s="15">
        <f>ROUND(+BC33*-$BD$11,0)</f>
        <v>14960</v>
      </c>
      <c r="BY33" s="17"/>
    </row>
    <row r="34" spans="1:77" ht="13.5" thickTop="1">
      <c r="A34" s="17">
        <f t="shared" si="1"/>
        <v>22</v>
      </c>
      <c r="C34" s="128"/>
      <c r="D34" s="128"/>
      <c r="E34" s="128"/>
      <c r="F34" s="107">
        <f t="shared" si="2"/>
        <v>22</v>
      </c>
      <c r="G34" s="23"/>
      <c r="H34" s="120"/>
      <c r="I34" s="120"/>
      <c r="J34" s="120"/>
      <c r="K34" s="107"/>
      <c r="M34" s="4"/>
      <c r="N34" s="4"/>
      <c r="T34" s="4"/>
      <c r="AB34" s="15"/>
      <c r="AC34" s="15"/>
      <c r="AD34" s="15"/>
      <c r="AE34" s="17">
        <f t="shared" si="6"/>
        <v>22</v>
      </c>
      <c r="AF34" s="72" t="s">
        <v>103</v>
      </c>
      <c r="AG34" s="212">
        <v>283161.3599999994</v>
      </c>
      <c r="AK34" s="32">
        <f t="shared" si="7"/>
        <v>22</v>
      </c>
      <c r="AL34" s="81"/>
      <c r="AM34" s="81"/>
      <c r="AN34" s="81"/>
      <c r="AO34" s="81"/>
      <c r="AQ34" s="124"/>
      <c r="AR34" s="123"/>
      <c r="AS34" s="123"/>
      <c r="AT34" s="123"/>
      <c r="AU34" s="17">
        <f t="shared" si="12"/>
        <v>22</v>
      </c>
      <c r="AV34" s="23" t="s">
        <v>102</v>
      </c>
      <c r="AW34" s="127">
        <f>SUM(AW14:AW33)</f>
        <v>76381597.61708333</v>
      </c>
      <c r="AX34" s="127">
        <f>SUM(AX14:AX33)</f>
        <v>56835179.91059505</v>
      </c>
      <c r="AY34" s="127">
        <f>SUM(AY14:AY33)</f>
        <v>-19546417.706488293</v>
      </c>
      <c r="AZ34" s="17">
        <f t="shared" si="10"/>
        <v>22</v>
      </c>
      <c r="BA34" s="24" t="s">
        <v>101</v>
      </c>
      <c r="BB34" s="28">
        <f>SUM(BB29:BB33)</f>
        <v>19105915.70908099</v>
      </c>
      <c r="BC34" s="28">
        <f>SUM(BC29:BC33)</f>
        <v>-401033.17073361005</v>
      </c>
      <c r="BD34" s="28">
        <f>SUM(BD29:BD33)</f>
        <v>140361</v>
      </c>
      <c r="BY34" s="17"/>
    </row>
    <row r="35" spans="1:81" ht="12.75">
      <c r="A35" s="17">
        <f t="shared" si="1"/>
        <v>23</v>
      </c>
      <c r="B35" s="126" t="str">
        <f>"INCREASE (DECREASE) OPERATING INCOME (LINE "&amp;A19&amp;" - LINE "&amp;A33&amp;")"</f>
        <v>INCREASE (DECREASE) OPERATING INCOME (LINE 7 - LINE 21)</v>
      </c>
      <c r="C35" s="10">
        <f>C19-C33</f>
        <v>-1065754293.8892903</v>
      </c>
      <c r="D35" s="10">
        <f>D19-D33</f>
        <v>-921266788.4418197</v>
      </c>
      <c r="E35" s="10">
        <f>E19-E33</f>
        <v>144487505.44747052</v>
      </c>
      <c r="F35" s="107">
        <f t="shared" si="2"/>
        <v>23</v>
      </c>
      <c r="G35" s="121" t="s">
        <v>100</v>
      </c>
      <c r="H35" s="120">
        <f>H22+H33</f>
        <v>0</v>
      </c>
      <c r="I35" s="120">
        <f>I24+I33</f>
        <v>58013442.140243806</v>
      </c>
      <c r="J35" s="120">
        <f>J24+J33</f>
        <v>58013442.140243806</v>
      </c>
      <c r="L35" s="91"/>
      <c r="M35" s="119"/>
      <c r="N35" s="23"/>
      <c r="Q35" s="125"/>
      <c r="T35" s="4"/>
      <c r="AB35" s="15"/>
      <c r="AC35" s="15"/>
      <c r="AD35" s="15"/>
      <c r="AE35" s="17">
        <f t="shared" si="6"/>
        <v>23</v>
      </c>
      <c r="AF35" s="72" t="s">
        <v>99</v>
      </c>
      <c r="AG35" s="12">
        <v>13794354.1</v>
      </c>
      <c r="AK35" s="32">
        <f t="shared" si="7"/>
        <v>23</v>
      </c>
      <c r="AL35" s="81"/>
      <c r="AM35" s="81"/>
      <c r="AN35" s="81"/>
      <c r="AO35" s="81"/>
      <c r="AQ35" s="124"/>
      <c r="AR35" s="123"/>
      <c r="AS35" s="123"/>
      <c r="AT35" s="123"/>
      <c r="AU35" s="17">
        <f t="shared" si="12"/>
        <v>23</v>
      </c>
      <c r="AV35" s="23"/>
      <c r="AW35" s="122"/>
      <c r="AX35" s="122"/>
      <c r="AY35" s="122"/>
      <c r="AZ35" s="17">
        <f t="shared" si="10"/>
        <v>23</v>
      </c>
      <c r="BA35" s="24"/>
      <c r="BB35" s="28"/>
      <c r="BC35" s="28"/>
      <c r="BD35" s="28"/>
      <c r="BY35" s="17"/>
      <c r="BZ35" s="3"/>
      <c r="CA35" s="3"/>
      <c r="CB35" s="3"/>
      <c r="CC35" s="3"/>
    </row>
    <row r="36" spans="1:81" ht="12.75">
      <c r="A36" s="17">
        <f t="shared" si="1"/>
        <v>24</v>
      </c>
      <c r="C36" s="15"/>
      <c r="D36" s="15"/>
      <c r="F36" s="107">
        <f t="shared" si="2"/>
        <v>24</v>
      </c>
      <c r="G36" s="121"/>
      <c r="H36" s="120"/>
      <c r="I36" s="120"/>
      <c r="J36" s="120"/>
      <c r="L36" s="91"/>
      <c r="M36" s="119"/>
      <c r="N36" s="23"/>
      <c r="O36" s="91"/>
      <c r="T36" s="4"/>
      <c r="AB36" s="15"/>
      <c r="AC36" s="15"/>
      <c r="AD36" s="15"/>
      <c r="AE36" s="17">
        <f t="shared" si="6"/>
        <v>24</v>
      </c>
      <c r="AF36" s="72" t="s">
        <v>98</v>
      </c>
      <c r="AG36" s="12">
        <v>1998778.99</v>
      </c>
      <c r="AK36" s="32">
        <f t="shared" si="7"/>
        <v>24</v>
      </c>
      <c r="AL36" s="81"/>
      <c r="AM36" s="81"/>
      <c r="AN36" s="81"/>
      <c r="AO36" s="81"/>
      <c r="AQ36" s="91"/>
      <c r="AR36" s="119"/>
      <c r="AS36" s="23"/>
      <c r="AT36" s="118"/>
      <c r="AU36" s="17">
        <f t="shared" si="12"/>
        <v>24</v>
      </c>
      <c r="AV36" s="110"/>
      <c r="AW36" s="117"/>
      <c r="AX36" s="117"/>
      <c r="AY36" s="117"/>
      <c r="AZ36" s="17">
        <f t="shared" si="10"/>
        <v>24</v>
      </c>
      <c r="BA36" s="116" t="s">
        <v>97</v>
      </c>
      <c r="BB36" s="12"/>
      <c r="BC36" s="12"/>
      <c r="BD36" s="12"/>
      <c r="BY36" s="17"/>
      <c r="BZ36" s="115"/>
      <c r="CA36" s="115"/>
      <c r="CB36" s="115"/>
      <c r="CC36" s="115"/>
    </row>
    <row r="37" spans="1:81" ht="12.75">
      <c r="A37" s="17">
        <f t="shared" si="1"/>
        <v>25</v>
      </c>
      <c r="B37" s="3" t="str">
        <f>"STATE UTILITY TAX SAVINGS FOR LINE "&amp;A16</f>
        <v>STATE UTILITY TAX SAVINGS FOR LINE 4</v>
      </c>
      <c r="C37" s="114">
        <v>0.03873</v>
      </c>
      <c r="E37" s="113">
        <f>-E16*C37</f>
        <v>-26145.666603698653</v>
      </c>
      <c r="F37" s="107">
        <f t="shared" si="2"/>
        <v>25</v>
      </c>
      <c r="G37" s="23" t="s">
        <v>96</v>
      </c>
      <c r="H37" s="31"/>
      <c r="I37" s="112">
        <v>0.35</v>
      </c>
      <c r="J37" s="111">
        <f>ROUND((-J35+J23)*I37,0)</f>
        <v>-18577935</v>
      </c>
      <c r="L37" s="105"/>
      <c r="M37" s="105"/>
      <c r="N37" s="105"/>
      <c r="O37" s="82"/>
      <c r="AB37" s="15"/>
      <c r="AC37" s="15"/>
      <c r="AD37" s="12"/>
      <c r="AE37" s="17">
        <f t="shared" si="6"/>
        <v>25</v>
      </c>
      <c r="AF37" s="104" t="s">
        <v>95</v>
      </c>
      <c r="AG37" s="12">
        <v>86184.68</v>
      </c>
      <c r="AK37" s="32">
        <f t="shared" si="7"/>
        <v>25</v>
      </c>
      <c r="AL37" s="81" t="s">
        <v>94</v>
      </c>
      <c r="AM37" s="81"/>
      <c r="AN37" s="81"/>
      <c r="AO37" s="81"/>
      <c r="AP37" s="17"/>
      <c r="AQ37" s="91"/>
      <c r="AR37" s="91"/>
      <c r="AS37" s="91"/>
      <c r="AT37" s="91"/>
      <c r="AU37" s="17">
        <f t="shared" si="12"/>
        <v>25</v>
      </c>
      <c r="AV37" s="110" t="s">
        <v>93</v>
      </c>
      <c r="AW37" s="57"/>
      <c r="AX37" s="57"/>
      <c r="AY37" s="57"/>
      <c r="AZ37" s="17">
        <f t="shared" si="10"/>
        <v>25</v>
      </c>
      <c r="BA37" s="24"/>
      <c r="BB37" s="12"/>
      <c r="BC37" s="15"/>
      <c r="BD37" s="15"/>
      <c r="BY37" s="17"/>
      <c r="BZ37" s="109"/>
      <c r="CA37" s="109"/>
      <c r="CB37" s="109"/>
      <c r="CC37" s="109"/>
    </row>
    <row r="38" spans="1:81" ht="13.5" thickBot="1">
      <c r="A38" s="17">
        <f t="shared" si="1"/>
        <v>26</v>
      </c>
      <c r="B38" s="24" t="s">
        <v>92</v>
      </c>
      <c r="C38" s="100"/>
      <c r="D38" s="100"/>
      <c r="E38" s="108">
        <f>E35+E37</f>
        <v>144461359.78086683</v>
      </c>
      <c r="F38" s="107">
        <f t="shared" si="2"/>
        <v>26</v>
      </c>
      <c r="G38" s="23" t="s">
        <v>37</v>
      </c>
      <c r="H38" s="38"/>
      <c r="I38" s="38"/>
      <c r="J38" s="106">
        <f>-J35-J37</f>
        <v>-39435507.140243806</v>
      </c>
      <c r="L38" s="105"/>
      <c r="M38" s="105"/>
      <c r="N38" s="105"/>
      <c r="O38" s="82"/>
      <c r="Z38" s="79"/>
      <c r="AA38" s="79"/>
      <c r="AB38" s="79"/>
      <c r="AC38" s="15"/>
      <c r="AD38" s="12"/>
      <c r="AE38" s="17">
        <f t="shared" si="6"/>
        <v>26</v>
      </c>
      <c r="AF38" s="104" t="s">
        <v>91</v>
      </c>
      <c r="AG38" s="52">
        <v>13909768.96</v>
      </c>
      <c r="AK38" s="32">
        <f t="shared" si="7"/>
        <v>26</v>
      </c>
      <c r="AL38" s="92" t="s">
        <v>90</v>
      </c>
      <c r="AM38" s="81"/>
      <c r="AN38" s="81"/>
      <c r="AO38" s="81"/>
      <c r="AQ38" s="91"/>
      <c r="AR38" s="91"/>
      <c r="AS38" s="91"/>
      <c r="AT38" s="91"/>
      <c r="AU38" s="17">
        <f t="shared" si="12"/>
        <v>26</v>
      </c>
      <c r="AV38" s="23" t="s">
        <v>69</v>
      </c>
      <c r="AW38" s="57">
        <v>3526620</v>
      </c>
      <c r="AX38" s="57">
        <v>3526620</v>
      </c>
      <c r="AY38" s="57">
        <f aca="true" t="shared" si="13" ref="AY38:AY48">+AX38-AW38</f>
        <v>0</v>
      </c>
      <c r="AZ38" s="17">
        <f t="shared" si="10"/>
        <v>26</v>
      </c>
      <c r="BA38" s="24" t="s">
        <v>89</v>
      </c>
      <c r="BB38" s="12">
        <f>I28</f>
        <v>776099</v>
      </c>
      <c r="BC38" s="15">
        <f aca="true" t="shared" si="14" ref="BC38:BC43">+BB38*-$BC$11</f>
        <v>-16290.31801</v>
      </c>
      <c r="BD38" s="15">
        <f aca="true" t="shared" si="15" ref="BD38:BD43">ROUND(+BC38*-$BD$11,0)</f>
        <v>5702</v>
      </c>
      <c r="BZ38" s="16"/>
      <c r="CA38" s="16"/>
      <c r="CB38" s="16"/>
      <c r="CC38" s="16"/>
    </row>
    <row r="39" spans="1:81" ht="13.5" thickTop="1">
      <c r="A39" s="17">
        <f t="shared" si="1"/>
        <v>27</v>
      </c>
      <c r="B39" s="24" t="s">
        <v>88</v>
      </c>
      <c r="C39" s="103">
        <v>0.35</v>
      </c>
      <c r="D39" s="102"/>
      <c r="E39" s="31">
        <v>50561475.92330339</v>
      </c>
      <c r="J39" s="70"/>
      <c r="L39" s="83"/>
      <c r="M39" s="83"/>
      <c r="N39" s="83"/>
      <c r="O39" s="82"/>
      <c r="Z39" s="97"/>
      <c r="AA39" s="97"/>
      <c r="AB39" s="97"/>
      <c r="AC39" s="65" t="s">
        <v>54</v>
      </c>
      <c r="AD39" s="12"/>
      <c r="AE39" s="17">
        <f t="shared" si="6"/>
        <v>27</v>
      </c>
      <c r="AF39" s="67" t="s">
        <v>87</v>
      </c>
      <c r="AG39" s="28">
        <f>SUM(AG34:AG38)</f>
        <v>30072248.09</v>
      </c>
      <c r="AH39" s="12"/>
      <c r="AJ39" s="77"/>
      <c r="AK39" s="32">
        <f t="shared" si="7"/>
        <v>27</v>
      </c>
      <c r="AL39" s="81"/>
      <c r="AM39" s="81"/>
      <c r="AN39" s="81"/>
      <c r="AO39" s="81"/>
      <c r="AQ39" s="91"/>
      <c r="AR39" s="91"/>
      <c r="AS39" s="91"/>
      <c r="AT39" s="91"/>
      <c r="AU39" s="17">
        <f t="shared" si="12"/>
        <v>27</v>
      </c>
      <c r="AV39" s="23" t="s">
        <v>66</v>
      </c>
      <c r="AW39" s="57">
        <v>1494701.982071016</v>
      </c>
      <c r="AX39" s="101">
        <v>1494701.7220710255</v>
      </c>
      <c r="AY39" s="101">
        <f t="shared" si="13"/>
        <v>-0.25999999046325684</v>
      </c>
      <c r="AZ39" s="17">
        <f t="shared" si="10"/>
        <v>27</v>
      </c>
      <c r="BA39" s="24" t="s">
        <v>86</v>
      </c>
      <c r="BB39" s="12">
        <f>I29</f>
        <v>9922939</v>
      </c>
      <c r="BC39" s="15">
        <f t="shared" si="14"/>
        <v>-208282.48961000002</v>
      </c>
      <c r="BD39" s="15">
        <f t="shared" si="15"/>
        <v>72899</v>
      </c>
      <c r="BZ39" s="16"/>
      <c r="CA39" s="16"/>
      <c r="CB39" s="16"/>
      <c r="CC39" s="16"/>
    </row>
    <row r="40" spans="1:81" ht="13.5" thickBot="1">
      <c r="A40" s="17">
        <f t="shared" si="1"/>
        <v>28</v>
      </c>
      <c r="B40" s="24" t="s">
        <v>37</v>
      </c>
      <c r="C40" s="100" t="s">
        <v>24</v>
      </c>
      <c r="D40" s="99"/>
      <c r="E40" s="98">
        <f>+E38-E39</f>
        <v>93899883.85756344</v>
      </c>
      <c r="J40" s="70"/>
      <c r="L40" s="83"/>
      <c r="M40" s="83"/>
      <c r="N40" s="83"/>
      <c r="O40" s="82"/>
      <c r="Z40" s="79"/>
      <c r="AA40" s="97"/>
      <c r="AB40" s="97"/>
      <c r="AC40" s="65"/>
      <c r="AD40" s="12"/>
      <c r="AE40" s="17">
        <f t="shared" si="6"/>
        <v>28</v>
      </c>
      <c r="AF40" s="67"/>
      <c r="AG40" s="67"/>
      <c r="AH40" s="67"/>
      <c r="AJ40" s="77"/>
      <c r="AK40" s="32">
        <f t="shared" si="7"/>
        <v>28</v>
      </c>
      <c r="AL40" s="81" t="s">
        <v>85</v>
      </c>
      <c r="AM40" s="96"/>
      <c r="AN40" s="96"/>
      <c r="AO40" s="96"/>
      <c r="AQ40" s="91"/>
      <c r="AR40" s="91"/>
      <c r="AS40" s="91"/>
      <c r="AT40" s="91"/>
      <c r="AU40" s="17">
        <f t="shared" si="12"/>
        <v>28</v>
      </c>
      <c r="AV40" s="23" t="s">
        <v>61</v>
      </c>
      <c r="AW40" s="57">
        <v>2076858.21</v>
      </c>
      <c r="AX40" s="57">
        <v>0</v>
      </c>
      <c r="AY40" s="57">
        <f t="shared" si="13"/>
        <v>-2076858.21</v>
      </c>
      <c r="AZ40" s="17">
        <f t="shared" si="10"/>
        <v>28</v>
      </c>
      <c r="BA40" s="24" t="s">
        <v>84</v>
      </c>
      <c r="BB40" s="12">
        <v>0</v>
      </c>
      <c r="BC40" s="15">
        <f t="shared" si="14"/>
        <v>0</v>
      </c>
      <c r="BD40" s="15">
        <f t="shared" si="15"/>
        <v>0</v>
      </c>
      <c r="BY40" s="17"/>
      <c r="BZ40" s="95"/>
      <c r="CA40" s="95"/>
      <c r="CB40" s="95"/>
      <c r="CC40" s="95"/>
    </row>
    <row r="41" spans="1:81" ht="13.5" thickTop="1">
      <c r="A41" s="17"/>
      <c r="E41" s="2"/>
      <c r="J41" s="94"/>
      <c r="L41" s="83"/>
      <c r="M41" s="83"/>
      <c r="N41" s="83"/>
      <c r="O41" s="82"/>
      <c r="Z41" s="79"/>
      <c r="AA41" s="86"/>
      <c r="AB41" s="85"/>
      <c r="AC41" s="65" t="s">
        <v>54</v>
      </c>
      <c r="AD41" s="12"/>
      <c r="AE41" s="17">
        <f t="shared" si="6"/>
        <v>29</v>
      </c>
      <c r="AF41" s="93" t="s">
        <v>83</v>
      </c>
      <c r="AH41" s="15">
        <f>AG39/48*12</f>
        <v>7518062.022500001</v>
      </c>
      <c r="AK41" s="32">
        <f t="shared" si="7"/>
        <v>29</v>
      </c>
      <c r="AL41" s="92" t="s">
        <v>82</v>
      </c>
      <c r="AM41" s="81"/>
      <c r="AN41" s="81"/>
      <c r="AO41" s="81"/>
      <c r="AP41" s="70"/>
      <c r="AQ41" s="91"/>
      <c r="AR41" s="91"/>
      <c r="AS41" s="91"/>
      <c r="AT41" s="91"/>
      <c r="AU41" s="17">
        <f t="shared" si="12"/>
        <v>29</v>
      </c>
      <c r="AV41" s="23" t="s">
        <v>58</v>
      </c>
      <c r="AW41" s="57">
        <v>4162153.8237249996</v>
      </c>
      <c r="AX41" s="57">
        <v>0</v>
      </c>
      <c r="AY41" s="57">
        <f t="shared" si="13"/>
        <v>-4162153.8237249996</v>
      </c>
      <c r="AZ41" s="17">
        <f t="shared" si="10"/>
        <v>29</v>
      </c>
      <c r="BA41" s="24" t="s">
        <v>81</v>
      </c>
      <c r="BB41" s="12">
        <f>J30</f>
        <v>10891023</v>
      </c>
      <c r="BC41" s="12">
        <f t="shared" si="14"/>
        <v>-228602.57277000003</v>
      </c>
      <c r="BD41" s="12">
        <f t="shared" si="15"/>
        <v>80011</v>
      </c>
      <c r="BY41" s="17"/>
      <c r="BZ41" s="75"/>
      <c r="CA41" s="75"/>
      <c r="CB41" s="75"/>
      <c r="CC41" s="75"/>
    </row>
    <row r="42" spans="1:81" ht="12.75">
      <c r="A42" s="23"/>
      <c r="E42" s="2"/>
      <c r="G42" s="3"/>
      <c r="H42" s="83"/>
      <c r="I42" s="83"/>
      <c r="J42" s="70"/>
      <c r="L42" s="83"/>
      <c r="M42" s="83"/>
      <c r="N42" s="83"/>
      <c r="O42" s="82"/>
      <c r="Z42" s="79"/>
      <c r="AA42" s="79"/>
      <c r="AB42" s="79"/>
      <c r="AC42" s="65" t="s">
        <v>54</v>
      </c>
      <c r="AD42" s="12"/>
      <c r="AE42" s="17">
        <f t="shared" si="6"/>
        <v>30</v>
      </c>
      <c r="AK42" s="32">
        <f t="shared" si="7"/>
        <v>30</v>
      </c>
      <c r="AP42" s="70"/>
      <c r="AQ42" s="90"/>
      <c r="AR42" s="89"/>
      <c r="AS42" s="89"/>
      <c r="AT42" s="89"/>
      <c r="AU42" s="17">
        <f t="shared" si="12"/>
        <v>30</v>
      </c>
      <c r="AV42" s="23" t="s">
        <v>55</v>
      </c>
      <c r="AW42" s="57">
        <v>-1209583.3333333333</v>
      </c>
      <c r="AX42" s="57">
        <v>0</v>
      </c>
      <c r="AY42" s="57">
        <f t="shared" si="13"/>
        <v>1209583.3333333333</v>
      </c>
      <c r="AZ42" s="17">
        <f t="shared" si="10"/>
        <v>30</v>
      </c>
      <c r="BA42" s="24" t="s">
        <v>80</v>
      </c>
      <c r="BB42" s="12">
        <f>I31</f>
        <v>517500.681183602</v>
      </c>
      <c r="BC42" s="12">
        <f t="shared" si="14"/>
        <v>-10862.339298043808</v>
      </c>
      <c r="BD42" s="12">
        <f t="shared" si="15"/>
        <v>3802</v>
      </c>
      <c r="BZ42" s="75"/>
      <c r="CA42" s="75"/>
      <c r="CB42" s="75"/>
      <c r="CC42" s="75"/>
    </row>
    <row r="43" spans="1:81" ht="12.75">
      <c r="A43" s="17"/>
      <c r="B43" s="24"/>
      <c r="E43" s="2"/>
      <c r="F43" s="17"/>
      <c r="G43" s="3"/>
      <c r="H43" s="83"/>
      <c r="I43" s="83"/>
      <c r="L43" s="83"/>
      <c r="M43" s="83"/>
      <c r="N43" s="83"/>
      <c r="O43" s="82"/>
      <c r="Z43" s="79"/>
      <c r="AA43" s="86"/>
      <c r="AB43" s="85"/>
      <c r="AC43" s="65" t="s">
        <v>54</v>
      </c>
      <c r="AD43" s="15"/>
      <c r="AE43" s="17">
        <f t="shared" si="6"/>
        <v>31</v>
      </c>
      <c r="AG43" s="12"/>
      <c r="AK43" s="32">
        <f t="shared" si="7"/>
        <v>31</v>
      </c>
      <c r="AL43" s="88" t="s">
        <v>79</v>
      </c>
      <c r="AM43" s="87"/>
      <c r="AN43" s="87"/>
      <c r="AO43" s="81"/>
      <c r="AP43" s="70"/>
      <c r="AU43" s="17">
        <f t="shared" si="12"/>
        <v>31</v>
      </c>
      <c r="AV43" s="23" t="s">
        <v>52</v>
      </c>
      <c r="AW43" s="57">
        <v>-457531.3044444445</v>
      </c>
      <c r="AX43" s="57">
        <v>-392169.6666666667</v>
      </c>
      <c r="AY43" s="57">
        <f t="shared" si="13"/>
        <v>65361.637777777796</v>
      </c>
      <c r="AZ43" s="17">
        <f t="shared" si="10"/>
        <v>31</v>
      </c>
      <c r="BA43" s="24" t="s">
        <v>78</v>
      </c>
      <c r="BB43" s="12">
        <f>I32</f>
        <v>2967100.906250939</v>
      </c>
      <c r="BC43" s="12">
        <f t="shared" si="14"/>
        <v>-62279.44802220721</v>
      </c>
      <c r="BD43" s="12">
        <f t="shared" si="15"/>
        <v>21798</v>
      </c>
      <c r="BZ43" s="75"/>
      <c r="CA43" s="75"/>
      <c r="CB43" s="75"/>
      <c r="CC43" s="75"/>
    </row>
    <row r="44" spans="1:81" ht="12.75">
      <c r="A44" s="17"/>
      <c r="C44" s="15"/>
      <c r="E44" s="15"/>
      <c r="F44" s="17"/>
      <c r="G44" s="3"/>
      <c r="H44" s="83"/>
      <c r="I44" s="83"/>
      <c r="L44" s="83"/>
      <c r="M44" s="83"/>
      <c r="N44" s="83"/>
      <c r="O44" s="13"/>
      <c r="Z44" s="78"/>
      <c r="AA44" s="86"/>
      <c r="AB44" s="85"/>
      <c r="AC44" s="73"/>
      <c r="AD44" s="15"/>
      <c r="AE44" s="17">
        <f t="shared" si="6"/>
        <v>32</v>
      </c>
      <c r="AF44" s="67" t="s">
        <v>77</v>
      </c>
      <c r="AG44" s="12"/>
      <c r="AK44" s="81"/>
      <c r="AL44" s="81"/>
      <c r="AM44" s="81"/>
      <c r="AN44" s="81"/>
      <c r="AO44" s="81"/>
      <c r="AP44" s="70"/>
      <c r="AU44" s="17">
        <f t="shared" si="12"/>
        <v>32</v>
      </c>
      <c r="AV44" s="23" t="s">
        <v>49</v>
      </c>
      <c r="AW44" s="57">
        <v>-403219.66019417474</v>
      </c>
      <c r="AX44" s="57">
        <v>-537626.2135922329</v>
      </c>
      <c r="AY44" s="57">
        <f t="shared" si="13"/>
        <v>-134406.55339805817</v>
      </c>
      <c r="AZ44" s="17">
        <f t="shared" si="10"/>
        <v>32</v>
      </c>
      <c r="BA44" s="24" t="s">
        <v>76</v>
      </c>
      <c r="BB44" s="84">
        <f>SUM(BB37:BB43)</f>
        <v>25074662.58743454</v>
      </c>
      <c r="BC44" s="84">
        <f>SUM(BC37:BC43)</f>
        <v>-526317.1677102511</v>
      </c>
      <c r="BD44" s="84">
        <f>SUM(BD37:BD43)</f>
        <v>184212</v>
      </c>
      <c r="BZ44" s="75"/>
      <c r="CA44" s="75"/>
      <c r="CB44" s="75"/>
      <c r="CC44" s="75"/>
    </row>
    <row r="45" spans="1:81" ht="12.75">
      <c r="A45" s="17"/>
      <c r="E45" s="14"/>
      <c r="G45" s="3"/>
      <c r="H45" s="3"/>
      <c r="I45" s="3"/>
      <c r="L45" s="83"/>
      <c r="M45" s="83"/>
      <c r="N45" s="83"/>
      <c r="O45" s="82"/>
      <c r="Z45" s="79"/>
      <c r="AA45" s="79"/>
      <c r="AB45" s="78"/>
      <c r="AC45" s="65" t="s">
        <v>54</v>
      </c>
      <c r="AD45" s="15"/>
      <c r="AE45" s="17">
        <f t="shared" si="6"/>
        <v>33</v>
      </c>
      <c r="AF45" s="3" t="s">
        <v>75</v>
      </c>
      <c r="AG45" s="12"/>
      <c r="AK45" s="81"/>
      <c r="AL45" s="81"/>
      <c r="AM45" s="81"/>
      <c r="AN45" s="81"/>
      <c r="AO45" s="81"/>
      <c r="AU45" s="17">
        <f t="shared" si="12"/>
        <v>33</v>
      </c>
      <c r="AV45" s="23" t="s">
        <v>74</v>
      </c>
      <c r="AW45" s="57">
        <v>2159053</v>
      </c>
      <c r="AX45" s="57">
        <v>2872181.8354855985</v>
      </c>
      <c r="AY45" s="57">
        <f t="shared" si="13"/>
        <v>713128.8354855985</v>
      </c>
      <c r="AZ45" s="17">
        <f t="shared" si="10"/>
        <v>33</v>
      </c>
      <c r="BA45" s="24"/>
      <c r="BB45" s="12"/>
      <c r="BC45" s="12"/>
      <c r="BD45" s="12"/>
      <c r="BY45" s="70"/>
      <c r="BZ45" s="75"/>
      <c r="CA45" s="75"/>
      <c r="CB45" s="75"/>
      <c r="CC45" s="75"/>
    </row>
    <row r="46" spans="1:81" ht="12.75">
      <c r="A46" s="70"/>
      <c r="B46" s="80"/>
      <c r="C46" s="14"/>
      <c r="G46" s="3"/>
      <c r="H46" s="3"/>
      <c r="I46" s="3"/>
      <c r="J46" s="60"/>
      <c r="Z46" s="79"/>
      <c r="AA46" s="79"/>
      <c r="AB46" s="78"/>
      <c r="AC46" s="65"/>
      <c r="AD46" s="15"/>
      <c r="AE46" s="17">
        <f t="shared" si="6"/>
        <v>34</v>
      </c>
      <c r="AF46" s="69" t="s">
        <v>73</v>
      </c>
      <c r="AG46" s="52">
        <v>51735725</v>
      </c>
      <c r="AH46" s="12"/>
      <c r="AJ46" s="77"/>
      <c r="AK46" s="76"/>
      <c r="AL46" s="76"/>
      <c r="AM46" s="76"/>
      <c r="AN46" s="76"/>
      <c r="AO46" s="76"/>
      <c r="AU46" s="17">
        <f t="shared" si="12"/>
        <v>34</v>
      </c>
      <c r="AV46" s="23" t="s">
        <v>72</v>
      </c>
      <c r="AW46" s="57">
        <v>2102005.908375584</v>
      </c>
      <c r="AX46" s="57">
        <v>0</v>
      </c>
      <c r="AY46" s="57">
        <f t="shared" si="13"/>
        <v>-2102005.908375584</v>
      </c>
      <c r="AZ46" s="17">
        <f aca="true" t="shared" si="16" ref="AZ46:AZ77">AZ45+1</f>
        <v>34</v>
      </c>
      <c r="BA46" s="26" t="s">
        <v>71</v>
      </c>
      <c r="BB46" s="12"/>
      <c r="BC46" s="12"/>
      <c r="BD46" s="12"/>
      <c r="BY46" s="70"/>
      <c r="BZ46" s="75"/>
      <c r="CA46" s="75"/>
      <c r="CB46" s="75"/>
      <c r="CC46" s="75"/>
    </row>
    <row r="47" spans="1:77" ht="13.5" customHeight="1">
      <c r="A47" s="70"/>
      <c r="B47" s="68"/>
      <c r="C47" s="15"/>
      <c r="E47" s="15"/>
      <c r="G47" s="3"/>
      <c r="H47" s="3"/>
      <c r="I47" s="3"/>
      <c r="J47" s="60"/>
      <c r="Z47" s="73"/>
      <c r="AA47" s="65" t="s">
        <v>54</v>
      </c>
      <c r="AB47" s="73"/>
      <c r="AC47" s="65"/>
      <c r="AD47" s="15"/>
      <c r="AE47" s="17">
        <f t="shared" si="6"/>
        <v>35</v>
      </c>
      <c r="AF47" s="67" t="s">
        <v>70</v>
      </c>
      <c r="AG47" s="28">
        <f>SUM(AG46)</f>
        <v>51735725</v>
      </c>
      <c r="AH47" s="74"/>
      <c r="AI47" s="62"/>
      <c r="AK47" s="61"/>
      <c r="AL47" s="61"/>
      <c r="AM47" s="61"/>
      <c r="AN47" s="61"/>
      <c r="AO47" s="61"/>
      <c r="AU47" s="17">
        <f aca="true" t="shared" si="17" ref="AU47:AU63">+AU46+1</f>
        <v>35</v>
      </c>
      <c r="AV47" s="23" t="s">
        <v>45</v>
      </c>
      <c r="AW47" s="57">
        <v>0</v>
      </c>
      <c r="AX47" s="57">
        <v>555555.5555555556</v>
      </c>
      <c r="AY47" s="57">
        <f t="shared" si="13"/>
        <v>555555.5555555556</v>
      </c>
      <c r="AZ47" s="17">
        <f t="shared" si="16"/>
        <v>35</v>
      </c>
      <c r="BA47" s="23" t="s">
        <v>69</v>
      </c>
      <c r="BB47" s="22">
        <f>AX38</f>
        <v>3526620</v>
      </c>
      <c r="BC47" s="15">
        <f aca="true" t="shared" si="18" ref="BC47:BC61">+BB47*-$BC$11</f>
        <v>-74023.7538</v>
      </c>
      <c r="BD47" s="15">
        <v>25908</v>
      </c>
      <c r="BY47" s="70"/>
    </row>
    <row r="48" spans="1:77" ht="12.75">
      <c r="A48" s="70"/>
      <c r="B48" s="68"/>
      <c r="C48" s="15"/>
      <c r="F48" s="70"/>
      <c r="G48" s="3"/>
      <c r="H48" s="3"/>
      <c r="I48" s="3"/>
      <c r="J48" s="60"/>
      <c r="Z48" s="73"/>
      <c r="AA48" s="65" t="s">
        <v>54</v>
      </c>
      <c r="AB48" s="73"/>
      <c r="AC48" s="65"/>
      <c r="AD48" s="15"/>
      <c r="AE48" s="17">
        <f t="shared" si="6"/>
        <v>36</v>
      </c>
      <c r="AF48" s="67" t="s">
        <v>68</v>
      </c>
      <c r="AG48" s="67"/>
      <c r="AH48" s="2"/>
      <c r="AI48" s="12"/>
      <c r="AK48" s="61"/>
      <c r="AL48" s="61"/>
      <c r="AM48" s="61"/>
      <c r="AN48" s="61"/>
      <c r="AO48" s="61"/>
      <c r="AP48" s="60"/>
      <c r="AU48" s="17">
        <f t="shared" si="17"/>
        <v>36</v>
      </c>
      <c r="AV48" s="23" t="s">
        <v>67</v>
      </c>
      <c r="AW48" s="57"/>
      <c r="AX48" s="57">
        <v>265155</v>
      </c>
      <c r="AY48" s="57">
        <f t="shared" si="13"/>
        <v>265155</v>
      </c>
      <c r="AZ48" s="17">
        <f t="shared" si="16"/>
        <v>36</v>
      </c>
      <c r="BA48" s="23" t="s">
        <v>66</v>
      </c>
      <c r="BB48" s="22">
        <f>AX39</f>
        <v>1494701.7220710255</v>
      </c>
      <c r="BC48" s="15">
        <f t="shared" si="18"/>
        <v>-31373.78914627083</v>
      </c>
      <c r="BD48" s="15">
        <v>10981</v>
      </c>
      <c r="BY48" s="70"/>
    </row>
    <row r="49" spans="1:56" ht="12.75">
      <c r="A49" s="70"/>
      <c r="B49" s="68"/>
      <c r="C49" s="15"/>
      <c r="F49" s="70"/>
      <c r="G49" s="3"/>
      <c r="H49" s="3"/>
      <c r="I49" s="3"/>
      <c r="Z49" s="65" t="s">
        <v>54</v>
      </c>
      <c r="AA49" s="65" t="s">
        <v>54</v>
      </c>
      <c r="AB49" s="65" t="s">
        <v>54</v>
      </c>
      <c r="AC49" s="65" t="s">
        <v>54</v>
      </c>
      <c r="AD49" s="15"/>
      <c r="AE49" s="17">
        <f t="shared" si="6"/>
        <v>37</v>
      </c>
      <c r="AF49" s="72" t="s">
        <v>65</v>
      </c>
      <c r="AG49" s="67"/>
      <c r="AH49" s="2"/>
      <c r="AI49" s="12"/>
      <c r="AK49" s="61"/>
      <c r="AL49" s="61"/>
      <c r="AM49" s="61"/>
      <c r="AN49" s="61"/>
      <c r="AO49" s="61"/>
      <c r="AP49" s="60"/>
      <c r="AU49" s="17">
        <f t="shared" si="17"/>
        <v>37</v>
      </c>
      <c r="AV49" s="23" t="s">
        <v>64</v>
      </c>
      <c r="AW49" s="57"/>
      <c r="AX49" s="57"/>
      <c r="AY49" s="57"/>
      <c r="AZ49" s="17">
        <f t="shared" si="16"/>
        <v>37</v>
      </c>
      <c r="BA49" s="23" t="s">
        <v>14</v>
      </c>
      <c r="BB49" s="22"/>
      <c r="BC49" s="15">
        <f t="shared" si="18"/>
        <v>0</v>
      </c>
      <c r="BD49" s="15">
        <v>0</v>
      </c>
    </row>
    <row r="50" spans="2:56" ht="12.75">
      <c r="B50" s="24"/>
      <c r="C50" s="15"/>
      <c r="F50" s="70"/>
      <c r="G50" s="3"/>
      <c r="H50" s="3"/>
      <c r="I50" s="3"/>
      <c r="Z50" s="65" t="s">
        <v>54</v>
      </c>
      <c r="AA50" s="65" t="s">
        <v>54</v>
      </c>
      <c r="AB50" s="65" t="s">
        <v>54</v>
      </c>
      <c r="AC50" s="65" t="s">
        <v>54</v>
      </c>
      <c r="AD50" s="15"/>
      <c r="AE50" s="17">
        <f t="shared" si="6"/>
        <v>38</v>
      </c>
      <c r="AF50" s="3" t="s">
        <v>63</v>
      </c>
      <c r="AG50" s="71"/>
      <c r="AH50" s="52">
        <f>AG47/78*12</f>
        <v>7959342.307692308</v>
      </c>
      <c r="AI50" s="67"/>
      <c r="AK50" s="61"/>
      <c r="AL50" s="61"/>
      <c r="AM50" s="61"/>
      <c r="AN50" s="61"/>
      <c r="AO50" s="61"/>
      <c r="AP50" s="60"/>
      <c r="AQ50" s="4"/>
      <c r="AR50" s="4"/>
      <c r="AS50" s="4"/>
      <c r="AT50" s="4"/>
      <c r="AU50" s="17">
        <f t="shared" si="17"/>
        <v>38</v>
      </c>
      <c r="AV50" s="23" t="s">
        <v>62</v>
      </c>
      <c r="AW50" s="57">
        <v>61034.34347826087</v>
      </c>
      <c r="AX50" s="57">
        <v>61034.34347826087</v>
      </c>
      <c r="AY50" s="57">
        <f>+AX50-AW50</f>
        <v>0</v>
      </c>
      <c r="AZ50" s="17">
        <f t="shared" si="16"/>
        <v>38</v>
      </c>
      <c r="BA50" s="23" t="s">
        <v>61</v>
      </c>
      <c r="BB50" s="22">
        <f>AX42</f>
        <v>0</v>
      </c>
      <c r="BC50" s="15">
        <f t="shared" si="18"/>
        <v>0</v>
      </c>
      <c r="BD50" s="15">
        <v>0</v>
      </c>
    </row>
    <row r="51" spans="2:56" ht="12.75">
      <c r="B51" s="24"/>
      <c r="E51" s="2"/>
      <c r="F51" s="70"/>
      <c r="G51" s="3"/>
      <c r="H51" s="3"/>
      <c r="I51" s="3"/>
      <c r="Z51" s="65" t="s">
        <v>54</v>
      </c>
      <c r="AA51" s="65" t="s">
        <v>54</v>
      </c>
      <c r="AB51" s="65" t="s">
        <v>54</v>
      </c>
      <c r="AC51" s="65" t="s">
        <v>54</v>
      </c>
      <c r="AD51" s="15"/>
      <c r="AE51" s="17">
        <f t="shared" si="6"/>
        <v>39</v>
      </c>
      <c r="AF51" s="69" t="s">
        <v>60</v>
      </c>
      <c r="AG51" s="12"/>
      <c r="AH51" s="12"/>
      <c r="AI51" s="15">
        <f>AH41+AH50</f>
        <v>15477404.330192309</v>
      </c>
      <c r="AJ51" s="12"/>
      <c r="AK51" s="61"/>
      <c r="AL51" s="61"/>
      <c r="AM51" s="61"/>
      <c r="AN51" s="61"/>
      <c r="AO51" s="61"/>
      <c r="AQ51" s="4"/>
      <c r="AR51" s="4"/>
      <c r="AS51" s="4"/>
      <c r="AT51" s="4"/>
      <c r="AU51" s="17">
        <f t="shared" si="17"/>
        <v>39</v>
      </c>
      <c r="AV51" s="23" t="s">
        <v>59</v>
      </c>
      <c r="AW51" s="57">
        <v>223889.4912903225</v>
      </c>
      <c r="AX51" s="57">
        <v>223889.4912903225</v>
      </c>
      <c r="AY51" s="57">
        <f>+AX51-AW51</f>
        <v>0</v>
      </c>
      <c r="AZ51" s="17">
        <f t="shared" si="16"/>
        <v>39</v>
      </c>
      <c r="BA51" s="23" t="s">
        <v>58</v>
      </c>
      <c r="BB51" s="22">
        <f aca="true" t="shared" si="19" ref="BB51:BB58">AX41</f>
        <v>0</v>
      </c>
      <c r="BC51" s="15">
        <f t="shared" si="18"/>
        <v>0</v>
      </c>
      <c r="BD51" s="15">
        <v>0</v>
      </c>
    </row>
    <row r="52" spans="5:77" ht="12.75">
      <c r="E52" s="68"/>
      <c r="G52" s="3"/>
      <c r="H52" s="3"/>
      <c r="I52" s="3"/>
      <c r="Z52" s="65" t="s">
        <v>54</v>
      </c>
      <c r="AA52" s="66"/>
      <c r="AB52" s="65"/>
      <c r="AC52" s="65" t="s">
        <v>54</v>
      </c>
      <c r="AD52" s="15"/>
      <c r="AE52" s="17">
        <f t="shared" si="6"/>
        <v>40</v>
      </c>
      <c r="AF52" s="67" t="s">
        <v>57</v>
      </c>
      <c r="AG52" s="12"/>
      <c r="AH52" s="58"/>
      <c r="AI52" s="52">
        <v>15998328.99</v>
      </c>
      <c r="AK52" s="61"/>
      <c r="AL52" s="61"/>
      <c r="AM52" s="61"/>
      <c r="AN52" s="61"/>
      <c r="AO52" s="61"/>
      <c r="AQ52" s="4"/>
      <c r="AR52" s="4"/>
      <c r="AS52" s="4"/>
      <c r="AT52" s="4"/>
      <c r="AU52" s="17">
        <f t="shared" si="17"/>
        <v>40</v>
      </c>
      <c r="AV52" s="23" t="s">
        <v>56</v>
      </c>
      <c r="AW52" s="57">
        <v>354580.19999999995</v>
      </c>
      <c r="AX52" s="57">
        <v>354580.19999999995</v>
      </c>
      <c r="AY52" s="57">
        <f>+AX52-AW52</f>
        <v>0</v>
      </c>
      <c r="AZ52" s="17">
        <f t="shared" si="16"/>
        <v>40</v>
      </c>
      <c r="BA52" s="23" t="s">
        <v>55</v>
      </c>
      <c r="BB52" s="22">
        <f t="shared" si="19"/>
        <v>0</v>
      </c>
      <c r="BC52" s="15">
        <f t="shared" si="18"/>
        <v>0</v>
      </c>
      <c r="BD52" s="15">
        <v>0</v>
      </c>
      <c r="BY52" s="60"/>
    </row>
    <row r="53" spans="1:81" ht="12.75">
      <c r="A53" s="60" t="s">
        <v>24</v>
      </c>
      <c r="C53" s="15"/>
      <c r="E53" s="13"/>
      <c r="G53" s="3"/>
      <c r="H53" s="3"/>
      <c r="I53" s="3"/>
      <c r="Z53" s="65" t="s">
        <v>54</v>
      </c>
      <c r="AA53" s="66"/>
      <c r="AB53" s="65"/>
      <c r="AC53" s="65" t="s">
        <v>54</v>
      </c>
      <c r="AD53" s="15"/>
      <c r="AE53" s="17">
        <f t="shared" si="6"/>
        <v>41</v>
      </c>
      <c r="AF53" s="23"/>
      <c r="AG53" s="64"/>
      <c r="AH53" s="63"/>
      <c r="AI53" s="63"/>
      <c r="AJ53" s="62"/>
      <c r="AK53" s="61"/>
      <c r="AL53" s="61"/>
      <c r="AM53" s="61"/>
      <c r="AN53" s="61"/>
      <c r="AO53" s="61"/>
      <c r="AQ53" s="4"/>
      <c r="AR53" s="4"/>
      <c r="AS53" s="4"/>
      <c r="AT53" s="4"/>
      <c r="AU53" s="17">
        <f t="shared" si="17"/>
        <v>41</v>
      </c>
      <c r="AV53" s="23" t="s">
        <v>53</v>
      </c>
      <c r="AW53" s="57">
        <v>119333.19999999995</v>
      </c>
      <c r="AX53" s="57">
        <v>119333.19999999995</v>
      </c>
      <c r="AY53" s="57">
        <f>+AX53-AW53</f>
        <v>0</v>
      </c>
      <c r="AZ53" s="17">
        <f t="shared" si="16"/>
        <v>41</v>
      </c>
      <c r="BA53" s="23" t="s">
        <v>52</v>
      </c>
      <c r="BB53" s="22">
        <f t="shared" si="19"/>
        <v>-392169.6666666667</v>
      </c>
      <c r="BC53" s="15">
        <f t="shared" si="18"/>
        <v>8231.641303333334</v>
      </c>
      <c r="BD53" s="15">
        <v>-2881</v>
      </c>
      <c r="BY53" s="60"/>
      <c r="CC53" s="13"/>
    </row>
    <row r="54" spans="1:77" ht="12.75">
      <c r="A54" s="60" t="s">
        <v>24</v>
      </c>
      <c r="G54" s="3"/>
      <c r="H54" s="3"/>
      <c r="I54" s="3"/>
      <c r="AB54" s="15"/>
      <c r="AC54" s="15"/>
      <c r="AD54" s="15"/>
      <c r="AE54" s="17">
        <f t="shared" si="6"/>
        <v>42</v>
      </c>
      <c r="AF54" s="23" t="s">
        <v>51</v>
      </c>
      <c r="AG54" s="58"/>
      <c r="AH54" s="12"/>
      <c r="AI54" s="59"/>
      <c r="AJ54" s="52">
        <f>AI51-AI52</f>
        <v>-520924.65980769135</v>
      </c>
      <c r="AK54" s="61"/>
      <c r="AL54" s="61"/>
      <c r="AM54" s="61"/>
      <c r="AN54" s="61"/>
      <c r="AO54" s="61"/>
      <c r="AQ54" s="4"/>
      <c r="AR54" s="4"/>
      <c r="AS54" s="4"/>
      <c r="AT54" s="4"/>
      <c r="AU54" s="17">
        <f t="shared" si="17"/>
        <v>42</v>
      </c>
      <c r="AV54" s="23" t="s">
        <v>50</v>
      </c>
      <c r="AW54" s="57">
        <v>456270.1439130435</v>
      </c>
      <c r="AX54" s="57">
        <v>456270.1439130435</v>
      </c>
      <c r="AY54" s="57">
        <f>+AX54-AW54</f>
        <v>0</v>
      </c>
      <c r="AZ54" s="17">
        <f t="shared" si="16"/>
        <v>42</v>
      </c>
      <c r="BA54" s="23" t="s">
        <v>49</v>
      </c>
      <c r="BB54" s="22">
        <f t="shared" si="19"/>
        <v>-537626.2135922329</v>
      </c>
      <c r="BC54" s="15">
        <f t="shared" si="18"/>
        <v>11284.77422330097</v>
      </c>
      <c r="BD54" s="15">
        <v>-3950</v>
      </c>
      <c r="BY54" s="60"/>
    </row>
    <row r="55" spans="1:56" ht="12.75">
      <c r="A55" s="60" t="s">
        <v>24</v>
      </c>
      <c r="F55" s="60"/>
      <c r="G55" s="3"/>
      <c r="H55" s="3"/>
      <c r="I55" s="3"/>
      <c r="AB55" s="15"/>
      <c r="AC55" s="15"/>
      <c r="AD55" s="15"/>
      <c r="AE55" s="17">
        <f t="shared" si="6"/>
        <v>43</v>
      </c>
      <c r="AF55" s="59"/>
      <c r="AG55" s="58"/>
      <c r="AH55" s="4"/>
      <c r="AI55" s="12"/>
      <c r="AJ55" s="12"/>
      <c r="AQ55" s="4"/>
      <c r="AR55" s="4"/>
      <c r="AS55" s="4"/>
      <c r="AT55" s="4"/>
      <c r="AU55" s="17">
        <f t="shared" si="17"/>
        <v>43</v>
      </c>
      <c r="AV55" s="3" t="s">
        <v>36</v>
      </c>
      <c r="AW55" s="127">
        <f>SUM(AW38:AW54)</f>
        <v>14666166.004881268</v>
      </c>
      <c r="AX55" s="127">
        <f>SUM(AX38:AX54)</f>
        <v>8999525.611534907</v>
      </c>
      <c r="AY55" s="127">
        <f>SUM(AY38:AY54)</f>
        <v>-5666640.393346366</v>
      </c>
      <c r="AZ55" s="17">
        <f t="shared" si="16"/>
        <v>43</v>
      </c>
      <c r="BA55" s="23" t="s">
        <v>48</v>
      </c>
      <c r="BB55" s="22">
        <f t="shared" si="19"/>
        <v>2872181.8354855985</v>
      </c>
      <c r="BC55" s="15">
        <f t="shared" si="18"/>
        <v>-60287.09672684272</v>
      </c>
      <c r="BD55" s="15">
        <v>21100</v>
      </c>
    </row>
    <row r="56" spans="3:56" ht="12.75">
      <c r="C56" s="2"/>
      <c r="D56" s="56"/>
      <c r="E56" s="56"/>
      <c r="F56" s="60"/>
      <c r="G56" s="3"/>
      <c r="H56" s="3"/>
      <c r="I56" s="3"/>
      <c r="AB56" s="15"/>
      <c r="AC56" s="15"/>
      <c r="AD56" s="15"/>
      <c r="AE56" s="17">
        <f t="shared" si="6"/>
        <v>44</v>
      </c>
      <c r="AF56" s="23" t="s">
        <v>47</v>
      </c>
      <c r="AG56" s="58"/>
      <c r="AH56" s="12"/>
      <c r="AI56" s="12"/>
      <c r="AJ56" s="12">
        <f>AJ28+AJ54</f>
        <v>-2076175.748141027</v>
      </c>
      <c r="AQ56" s="4"/>
      <c r="AR56" s="4"/>
      <c r="AS56" s="4"/>
      <c r="AT56" s="4"/>
      <c r="AU56" s="17">
        <f t="shared" si="17"/>
        <v>44</v>
      </c>
      <c r="AV56" s="1"/>
      <c r="AW56" s="42"/>
      <c r="AX56" s="42"/>
      <c r="AY56" s="42"/>
      <c r="AZ56" s="17">
        <f t="shared" si="16"/>
        <v>44</v>
      </c>
      <c r="BA56" s="23" t="s">
        <v>46</v>
      </c>
      <c r="BB56" s="22">
        <f t="shared" si="19"/>
        <v>0</v>
      </c>
      <c r="BC56" s="15">
        <f t="shared" si="18"/>
        <v>0</v>
      </c>
      <c r="BD56" s="15">
        <v>0</v>
      </c>
    </row>
    <row r="57" spans="3:56" ht="12.75">
      <c r="C57" s="2"/>
      <c r="E57" s="56"/>
      <c r="F57" s="60"/>
      <c r="G57" s="3"/>
      <c r="H57" s="3"/>
      <c r="I57" s="3"/>
      <c r="AB57" s="15"/>
      <c r="AC57" s="15"/>
      <c r="AD57" s="15"/>
      <c r="AE57" s="17">
        <f t="shared" si="6"/>
        <v>45</v>
      </c>
      <c r="AF57" s="59"/>
      <c r="AG57" s="58"/>
      <c r="AH57" s="12"/>
      <c r="AI57" s="12"/>
      <c r="AJ57" s="10"/>
      <c r="AQ57" s="4"/>
      <c r="AR57" s="4"/>
      <c r="AS57" s="4"/>
      <c r="AT57" s="4"/>
      <c r="AU57" s="17">
        <f t="shared" si="17"/>
        <v>45</v>
      </c>
      <c r="AW57" s="57"/>
      <c r="AX57" s="57"/>
      <c r="AY57" s="57"/>
      <c r="AZ57" s="17">
        <f t="shared" si="16"/>
        <v>45</v>
      </c>
      <c r="BA57" s="23" t="s">
        <v>45</v>
      </c>
      <c r="BB57" s="22">
        <f t="shared" si="19"/>
        <v>555555.5555555556</v>
      </c>
      <c r="BC57" s="15">
        <f t="shared" si="18"/>
        <v>-11661.111111111113</v>
      </c>
      <c r="BD57" s="15">
        <v>4081</v>
      </c>
    </row>
    <row r="58" spans="3:56" ht="12.75">
      <c r="C58" s="56"/>
      <c r="D58" s="56"/>
      <c r="E58" s="56"/>
      <c r="G58" s="3"/>
      <c r="H58" s="3"/>
      <c r="I58" s="3"/>
      <c r="AB58" s="15"/>
      <c r="AC58" s="15"/>
      <c r="AD58" s="15"/>
      <c r="AE58" s="17">
        <f t="shared" si="6"/>
        <v>46</v>
      </c>
      <c r="AF58" s="55" t="s">
        <v>44</v>
      </c>
      <c r="AG58" s="55"/>
      <c r="AH58" s="54"/>
      <c r="AI58" s="53">
        <v>0.35</v>
      </c>
      <c r="AJ58" s="52">
        <f>-AJ56*AI58</f>
        <v>726661.5118493594</v>
      </c>
      <c r="AQ58" s="4"/>
      <c r="AR58" s="4"/>
      <c r="AS58" s="4"/>
      <c r="AT58" s="4"/>
      <c r="AU58" s="17">
        <f t="shared" si="17"/>
        <v>46</v>
      </c>
      <c r="AV58" s="1"/>
      <c r="AW58" s="42"/>
      <c r="AX58" s="42"/>
      <c r="AY58" s="42"/>
      <c r="AZ58" s="17">
        <f t="shared" si="16"/>
        <v>46</v>
      </c>
      <c r="BA58" s="23" t="s">
        <v>43</v>
      </c>
      <c r="BB58" s="22">
        <f t="shared" si="19"/>
        <v>265155</v>
      </c>
      <c r="BC58" s="15">
        <f t="shared" si="18"/>
        <v>-5565.6034500000005</v>
      </c>
      <c r="BD58" s="15">
        <v>1948</v>
      </c>
    </row>
    <row r="59" spans="7:56" ht="12.75">
      <c r="G59" s="3"/>
      <c r="H59" s="3"/>
      <c r="I59" s="3"/>
      <c r="L59" s="4"/>
      <c r="M59" s="4"/>
      <c r="N59" s="4"/>
      <c r="O59" s="4"/>
      <c r="AB59" s="15"/>
      <c r="AC59" s="15"/>
      <c r="AD59" s="15"/>
      <c r="AE59" s="17">
        <f t="shared" si="6"/>
        <v>47</v>
      </c>
      <c r="AF59" s="4"/>
      <c r="AG59" s="4"/>
      <c r="AH59" s="12"/>
      <c r="AI59" s="12"/>
      <c r="AJ59" s="12"/>
      <c r="AQ59" s="4"/>
      <c r="AR59" s="4"/>
      <c r="AS59" s="4"/>
      <c r="AT59" s="4"/>
      <c r="AU59" s="17">
        <f t="shared" si="17"/>
        <v>47</v>
      </c>
      <c r="AV59" s="51" t="s">
        <v>42</v>
      </c>
      <c r="AW59" s="16"/>
      <c r="AX59" s="50"/>
      <c r="AY59" s="22">
        <f>+AY55+AY57</f>
        <v>-5666640.393346366</v>
      </c>
      <c r="AZ59" s="17">
        <f t="shared" si="16"/>
        <v>47</v>
      </c>
      <c r="BA59" s="23" t="s">
        <v>41</v>
      </c>
      <c r="BB59" s="22">
        <f>SUM(AX50:AX54)</f>
        <v>1215107.3786816266</v>
      </c>
      <c r="BC59" s="15">
        <f t="shared" si="18"/>
        <v>-25505.103878527345</v>
      </c>
      <c r="BD59" s="15">
        <v>8927</v>
      </c>
    </row>
    <row r="60" spans="7:78" ht="13.5" thickBot="1">
      <c r="G60" s="3"/>
      <c r="H60" s="3"/>
      <c r="I60" s="3"/>
      <c r="L60" s="4"/>
      <c r="M60" s="4"/>
      <c r="N60" s="4"/>
      <c r="O60" s="4"/>
      <c r="AB60" s="15"/>
      <c r="AC60" s="15"/>
      <c r="AD60" s="15"/>
      <c r="AE60" s="17">
        <f t="shared" si="6"/>
        <v>48</v>
      </c>
      <c r="AF60" s="43" t="s">
        <v>37</v>
      </c>
      <c r="AG60" s="43"/>
      <c r="AH60" s="46"/>
      <c r="AI60" s="46"/>
      <c r="AJ60" s="49">
        <f>-AJ56-AJ58</f>
        <v>1349514.2362916677</v>
      </c>
      <c r="AQ60" s="4"/>
      <c r="AR60" s="4"/>
      <c r="AS60" s="4"/>
      <c r="AT60" s="4"/>
      <c r="AU60" s="17">
        <f t="shared" si="17"/>
        <v>48</v>
      </c>
      <c r="AV60" s="41"/>
      <c r="AW60" s="42"/>
      <c r="AX60" s="45"/>
      <c r="AY60" s="48"/>
      <c r="AZ60" s="17">
        <f t="shared" si="16"/>
        <v>48</v>
      </c>
      <c r="BA60" s="23" t="s">
        <v>40</v>
      </c>
      <c r="BB60" s="22">
        <f>N28</f>
        <v>680129.0439538461</v>
      </c>
      <c r="BC60" s="15">
        <f t="shared" si="18"/>
        <v>-14275.90863259123</v>
      </c>
      <c r="BD60" s="15">
        <v>4997</v>
      </c>
      <c r="BZ60" s="47"/>
    </row>
    <row r="61" spans="7:56" ht="13.5" thickTop="1">
      <c r="G61" s="3"/>
      <c r="H61" s="3"/>
      <c r="I61" s="3"/>
      <c r="L61" s="4"/>
      <c r="M61" s="4"/>
      <c r="N61" s="4"/>
      <c r="O61" s="4"/>
      <c r="AB61" s="15"/>
      <c r="AC61" s="15"/>
      <c r="AD61" s="15"/>
      <c r="AE61" s="17"/>
      <c r="AF61" s="4"/>
      <c r="AG61" s="4"/>
      <c r="AH61" s="46"/>
      <c r="AI61" s="46"/>
      <c r="AJ61" s="4"/>
      <c r="AQ61" s="4"/>
      <c r="AR61" s="4"/>
      <c r="AS61" s="4"/>
      <c r="AT61" s="4"/>
      <c r="AU61" s="17">
        <f t="shared" si="17"/>
        <v>49</v>
      </c>
      <c r="AV61" s="41" t="s">
        <v>39</v>
      </c>
      <c r="AW61" s="42"/>
      <c r="AX61" s="45">
        <v>0.35</v>
      </c>
      <c r="AY61" s="44">
        <f>-AY55*AX61</f>
        <v>1983324.1376712278</v>
      </c>
      <c r="AZ61" s="17">
        <f t="shared" si="16"/>
        <v>49</v>
      </c>
      <c r="BA61" s="23" t="s">
        <v>38</v>
      </c>
      <c r="BB61" s="22">
        <f>AS28</f>
        <v>7088065.589499994</v>
      </c>
      <c r="BC61" s="15">
        <f t="shared" si="18"/>
        <v>-148778.49672360488</v>
      </c>
      <c r="BD61" s="15">
        <v>52072</v>
      </c>
    </row>
    <row r="62" spans="7:56" ht="12.75">
      <c r="G62" s="3"/>
      <c r="H62" s="3"/>
      <c r="I62" s="3"/>
      <c r="L62" s="4"/>
      <c r="M62" s="4"/>
      <c r="N62" s="4"/>
      <c r="O62" s="4"/>
      <c r="AB62" s="15"/>
      <c r="AC62" s="15"/>
      <c r="AD62" s="15"/>
      <c r="AE62" s="17"/>
      <c r="AF62" s="43"/>
      <c r="AG62" s="43"/>
      <c r="AH62" s="12"/>
      <c r="AI62" s="12"/>
      <c r="AJ62" s="12"/>
      <c r="AQ62" s="4"/>
      <c r="AR62" s="4"/>
      <c r="AS62" s="4"/>
      <c r="AT62" s="4"/>
      <c r="AU62" s="17">
        <f t="shared" si="17"/>
        <v>50</v>
      </c>
      <c r="AV62" s="41"/>
      <c r="AW62" s="42"/>
      <c r="AX62" s="41"/>
      <c r="AY62" s="41"/>
      <c r="AZ62" s="17">
        <f t="shared" si="16"/>
        <v>50</v>
      </c>
      <c r="BA62" s="23"/>
      <c r="BB62" s="22"/>
      <c r="BC62" s="15"/>
      <c r="BD62" s="15"/>
    </row>
    <row r="63" spans="7:56" ht="13.5" thickBot="1">
      <c r="G63" s="3"/>
      <c r="H63" s="3"/>
      <c r="I63" s="3"/>
      <c r="L63" s="4"/>
      <c r="M63" s="4"/>
      <c r="N63" s="4"/>
      <c r="O63" s="4"/>
      <c r="AB63" s="15"/>
      <c r="AC63" s="15"/>
      <c r="AD63" s="15"/>
      <c r="AE63" s="17"/>
      <c r="AF63" s="4"/>
      <c r="AG63" s="4"/>
      <c r="AH63" s="4"/>
      <c r="AI63" s="4"/>
      <c r="AJ63" s="4"/>
      <c r="AQ63" s="4"/>
      <c r="AR63" s="4"/>
      <c r="AS63" s="4"/>
      <c r="AT63" s="4"/>
      <c r="AU63" s="17">
        <f t="shared" si="17"/>
        <v>51</v>
      </c>
      <c r="AV63" s="41" t="s">
        <v>37</v>
      </c>
      <c r="AW63" s="42"/>
      <c r="AX63" s="41"/>
      <c r="AY63" s="40">
        <f>-AY59-AY61</f>
        <v>3683316.255675138</v>
      </c>
      <c r="AZ63" s="17">
        <f t="shared" si="16"/>
        <v>51</v>
      </c>
      <c r="BA63" s="3" t="s">
        <v>36</v>
      </c>
      <c r="BB63" s="393">
        <f>SUM(BB47:BB61)</f>
        <v>16767720.244988747</v>
      </c>
      <c r="BC63" s="393">
        <f>SUM(BC47:BC61)</f>
        <v>-351954.44794231385</v>
      </c>
      <c r="BD63" s="393">
        <f>SUM(BD47:BD61)</f>
        <v>123183</v>
      </c>
    </row>
    <row r="64" spans="7:56" ht="13.5" thickTop="1">
      <c r="G64" s="3"/>
      <c r="H64" s="3"/>
      <c r="I64" s="3"/>
      <c r="L64" s="4"/>
      <c r="M64" s="4"/>
      <c r="N64" s="4"/>
      <c r="O64" s="4"/>
      <c r="AB64" s="15"/>
      <c r="AC64" s="15"/>
      <c r="AD64" s="15"/>
      <c r="AE64" s="17"/>
      <c r="AF64" s="4"/>
      <c r="AG64" s="4"/>
      <c r="AH64" s="4"/>
      <c r="AI64" s="4"/>
      <c r="AJ64" s="10"/>
      <c r="AQ64" s="4"/>
      <c r="AR64" s="4"/>
      <c r="AS64" s="4"/>
      <c r="AT64" s="4"/>
      <c r="AU64" s="17"/>
      <c r="AV64" s="39"/>
      <c r="AW64" s="38"/>
      <c r="AX64" s="38"/>
      <c r="AY64" s="38"/>
      <c r="AZ64" s="17">
        <f t="shared" si="16"/>
        <v>52</v>
      </c>
      <c r="BA64" s="16"/>
      <c r="BB64" s="16"/>
      <c r="BC64" s="16"/>
      <c r="BD64" s="16"/>
    </row>
    <row r="65" spans="7:56" ht="12.75">
      <c r="G65" s="3"/>
      <c r="H65" s="3"/>
      <c r="I65" s="3"/>
      <c r="L65" s="4"/>
      <c r="M65" s="4"/>
      <c r="N65" s="4"/>
      <c r="O65" s="4"/>
      <c r="AB65" s="15"/>
      <c r="AC65" s="15"/>
      <c r="AD65" s="15"/>
      <c r="AE65" s="17"/>
      <c r="AF65" s="4"/>
      <c r="AG65" s="4"/>
      <c r="AH65" s="4"/>
      <c r="AI65" s="4"/>
      <c r="AJ65" s="4"/>
      <c r="AQ65" s="4"/>
      <c r="AR65" s="4"/>
      <c r="AS65" s="4"/>
      <c r="AT65" s="4"/>
      <c r="AU65" s="17"/>
      <c r="AV65" s="25"/>
      <c r="AW65" s="25"/>
      <c r="AX65" s="25"/>
      <c r="AY65" s="25"/>
      <c r="AZ65" s="17">
        <f t="shared" si="16"/>
        <v>53</v>
      </c>
      <c r="BB65" s="37"/>
      <c r="BC65" s="37"/>
      <c r="BD65" s="36"/>
    </row>
    <row r="66" spans="7:56" ht="12.75">
      <c r="G66" s="3"/>
      <c r="H66" s="3"/>
      <c r="I66" s="3"/>
      <c r="L66" s="4"/>
      <c r="M66" s="4"/>
      <c r="N66" s="4"/>
      <c r="O66" s="4"/>
      <c r="AB66" s="15"/>
      <c r="AC66" s="15"/>
      <c r="AD66" s="15"/>
      <c r="AE66" s="17"/>
      <c r="AF66" s="4"/>
      <c r="AG66" s="4"/>
      <c r="AH66" s="4"/>
      <c r="AI66" s="4"/>
      <c r="AJ66" s="4"/>
      <c r="AQ66" s="4"/>
      <c r="AR66" s="4"/>
      <c r="AS66" s="4"/>
      <c r="AT66" s="4"/>
      <c r="AU66" s="17"/>
      <c r="AV66" s="25"/>
      <c r="AW66" s="25"/>
      <c r="AX66" s="25"/>
      <c r="AY66" s="25"/>
      <c r="AZ66" s="17">
        <f t="shared" si="16"/>
        <v>54</v>
      </c>
      <c r="BA66" s="24" t="s">
        <v>35</v>
      </c>
      <c r="BB66" s="12"/>
      <c r="BC66" s="12">
        <f>BB34+BB27+BB22+BB17+BB44+BB63</f>
        <v>176524343.21440476</v>
      </c>
      <c r="BD66" s="12">
        <f>BC34+BC27+BC22+BC17+BC44+BC63</f>
        <v>-3705245.9640703574</v>
      </c>
    </row>
    <row r="67" spans="12:56" ht="12.75">
      <c r="L67" s="4"/>
      <c r="M67" s="4"/>
      <c r="N67" s="4"/>
      <c r="O67" s="4"/>
      <c r="AB67" s="15"/>
      <c r="AC67" s="15"/>
      <c r="AD67" s="15"/>
      <c r="AE67" s="17"/>
      <c r="AF67" s="4"/>
      <c r="AG67" s="4"/>
      <c r="AH67" s="4"/>
      <c r="AI67" s="4"/>
      <c r="AJ67" s="4"/>
      <c r="AQ67" s="4"/>
      <c r="AR67" s="4"/>
      <c r="AS67" s="4"/>
      <c r="AT67" s="4"/>
      <c r="AU67" s="17"/>
      <c r="AV67" s="25"/>
      <c r="AW67" s="25"/>
      <c r="AX67" s="25"/>
      <c r="AY67" s="25"/>
      <c r="AZ67" s="17">
        <f t="shared" si="16"/>
        <v>55</v>
      </c>
      <c r="BA67" s="24" t="s">
        <v>34</v>
      </c>
      <c r="BB67" s="15"/>
      <c r="BD67" s="15">
        <f>(+BD17+BD22+BD27+BD34+BD44+BD63)</f>
        <v>1410886.4394870745</v>
      </c>
    </row>
    <row r="68" spans="12:56" ht="13.5" thickBot="1">
      <c r="L68" s="4"/>
      <c r="M68" s="4"/>
      <c r="N68" s="4"/>
      <c r="O68" s="4"/>
      <c r="AE68" s="17"/>
      <c r="AF68" s="4"/>
      <c r="AG68" s="4"/>
      <c r="AH68" s="4"/>
      <c r="AI68" s="4"/>
      <c r="AQ68" s="4"/>
      <c r="AR68" s="4"/>
      <c r="AS68" s="4"/>
      <c r="AT68" s="4"/>
      <c r="AU68" s="17"/>
      <c r="AV68" s="25"/>
      <c r="AW68" s="25"/>
      <c r="AX68" s="25"/>
      <c r="AY68" s="25"/>
      <c r="AZ68" s="17">
        <f t="shared" si="16"/>
        <v>56</v>
      </c>
      <c r="BA68" s="24" t="s">
        <v>33</v>
      </c>
      <c r="BB68" s="15"/>
      <c r="BC68" s="15"/>
      <c r="BD68" s="35">
        <f>-SUM(BD66:BD67)</f>
        <v>2294359.524583283</v>
      </c>
    </row>
    <row r="69" spans="12:55" ht="13.5" thickTop="1">
      <c r="L69" s="4"/>
      <c r="M69" s="4"/>
      <c r="N69" s="4"/>
      <c r="O69" s="4"/>
      <c r="AE69" s="17"/>
      <c r="AF69" s="4"/>
      <c r="AG69" s="4"/>
      <c r="AH69" s="4"/>
      <c r="AI69" s="4"/>
      <c r="AQ69" s="4"/>
      <c r="AR69" s="4"/>
      <c r="AS69" s="4"/>
      <c r="AT69" s="4"/>
      <c r="AU69" s="17"/>
      <c r="AZ69" s="17">
        <f t="shared" si="16"/>
        <v>57</v>
      </c>
      <c r="BB69" s="15"/>
      <c r="BC69" s="15"/>
    </row>
    <row r="70" spans="12:56" ht="12.75">
      <c r="L70" s="4"/>
      <c r="M70" s="4"/>
      <c r="N70" s="4"/>
      <c r="O70" s="4"/>
      <c r="AE70" s="17"/>
      <c r="AF70" s="4"/>
      <c r="AG70" s="4"/>
      <c r="AH70" s="4"/>
      <c r="AI70" s="4"/>
      <c r="AQ70" s="4"/>
      <c r="AR70" s="4"/>
      <c r="AS70" s="4"/>
      <c r="AT70" s="4"/>
      <c r="AU70" s="17"/>
      <c r="AV70" s="25"/>
      <c r="AW70" s="25"/>
      <c r="AX70" s="25"/>
      <c r="AY70" s="25"/>
      <c r="AZ70" s="17">
        <f t="shared" si="16"/>
        <v>58</v>
      </c>
      <c r="BA70" s="26" t="s">
        <v>32</v>
      </c>
      <c r="BB70" s="15"/>
      <c r="BC70" s="15"/>
      <c r="BD70" s="15"/>
    </row>
    <row r="71" spans="12:56" ht="12.75">
      <c r="L71" s="4"/>
      <c r="M71" s="4"/>
      <c r="N71" s="4"/>
      <c r="O71" s="4"/>
      <c r="AE71" s="17"/>
      <c r="AF71" s="4"/>
      <c r="AG71" s="4"/>
      <c r="AH71" s="4"/>
      <c r="AI71" s="4"/>
      <c r="AJ71" s="25"/>
      <c r="AQ71" s="4"/>
      <c r="AR71" s="4"/>
      <c r="AS71" s="4"/>
      <c r="AT71" s="4"/>
      <c r="AU71" s="17"/>
      <c r="AZ71" s="17">
        <f t="shared" si="16"/>
        <v>59</v>
      </c>
      <c r="BA71" s="24" t="s">
        <v>31</v>
      </c>
      <c r="BB71" s="34">
        <v>3310587583.4459467</v>
      </c>
      <c r="BC71" s="14">
        <f aca="true" t="shared" si="20" ref="BC71:BC78">-ROUND(BB71*$BC$11,0)</f>
        <v>-69489233</v>
      </c>
      <c r="BD71" s="15"/>
    </row>
    <row r="72" spans="12:55" ht="12.75">
      <c r="L72" s="4"/>
      <c r="M72" s="4"/>
      <c r="N72" s="4"/>
      <c r="O72" s="4"/>
      <c r="AE72" s="33"/>
      <c r="AJ72" s="25"/>
      <c r="AQ72" s="4"/>
      <c r="AR72" s="4"/>
      <c r="AS72" s="4"/>
      <c r="AT72" s="4"/>
      <c r="AU72" s="17"/>
      <c r="AV72" s="32"/>
      <c r="AW72" s="32"/>
      <c r="AX72" s="32"/>
      <c r="AY72" s="32"/>
      <c r="AZ72" s="17">
        <f t="shared" si="16"/>
        <v>60</v>
      </c>
      <c r="BA72" s="24" t="s">
        <v>30</v>
      </c>
      <c r="BB72" s="31">
        <v>-1190080368.0506847</v>
      </c>
      <c r="BC72" s="12">
        <f t="shared" si="20"/>
        <v>24979787</v>
      </c>
    </row>
    <row r="73" spans="12:55" ht="12.75">
      <c r="L73" s="4"/>
      <c r="M73" s="4"/>
      <c r="N73" s="4"/>
      <c r="O73" s="4"/>
      <c r="AE73" s="17"/>
      <c r="AJ73" s="25"/>
      <c r="AQ73" s="4"/>
      <c r="AR73" s="4"/>
      <c r="AS73" s="4"/>
      <c r="AT73" s="4"/>
      <c r="AU73" s="17"/>
      <c r="AZ73" s="17">
        <f t="shared" si="16"/>
        <v>61</v>
      </c>
      <c r="BA73" s="24" t="s">
        <v>29</v>
      </c>
      <c r="BB73" s="31">
        <v>77287156</v>
      </c>
      <c r="BC73" s="12">
        <f t="shared" si="20"/>
        <v>-1622257</v>
      </c>
    </row>
    <row r="74" spans="12:55" ht="12.75">
      <c r="L74" s="4"/>
      <c r="M74" s="4"/>
      <c r="N74" s="4"/>
      <c r="O74" s="4"/>
      <c r="AE74" s="17"/>
      <c r="AJ74" s="25"/>
      <c r="AQ74" s="4"/>
      <c r="AR74" s="4"/>
      <c r="AS74" s="4"/>
      <c r="AT74" s="4"/>
      <c r="AU74" s="17"/>
      <c r="AZ74" s="17">
        <f t="shared" si="16"/>
        <v>62</v>
      </c>
      <c r="BA74" s="24" t="s">
        <v>28</v>
      </c>
      <c r="BB74" s="31">
        <v>-4080190</v>
      </c>
      <c r="BC74" s="12">
        <f t="shared" si="20"/>
        <v>85643</v>
      </c>
    </row>
    <row r="75" spans="12:56" ht="12.75">
      <c r="L75" s="4"/>
      <c r="M75" s="4"/>
      <c r="N75" s="4"/>
      <c r="O75" s="4"/>
      <c r="AE75" s="17"/>
      <c r="AJ75" s="25"/>
      <c r="AQ75" s="4"/>
      <c r="AR75" s="4"/>
      <c r="AS75" s="4"/>
      <c r="AT75" s="4"/>
      <c r="AU75" s="17"/>
      <c r="AZ75" s="17">
        <f t="shared" si="16"/>
        <v>63</v>
      </c>
      <c r="BA75" s="24" t="s">
        <v>27</v>
      </c>
      <c r="BB75" s="30">
        <v>4947628</v>
      </c>
      <c r="BC75" s="15">
        <f t="shared" si="20"/>
        <v>-103851</v>
      </c>
      <c r="BD75" s="15"/>
    </row>
    <row r="76" spans="12:56" ht="12.75">
      <c r="L76" s="4"/>
      <c r="M76" s="4"/>
      <c r="N76" s="4"/>
      <c r="O76" s="4"/>
      <c r="AE76" s="17"/>
      <c r="AJ76" s="25"/>
      <c r="AQ76" s="4"/>
      <c r="AR76" s="4"/>
      <c r="AS76" s="4"/>
      <c r="AT76" s="4"/>
      <c r="AU76" s="17"/>
      <c r="AZ76" s="17">
        <f t="shared" si="16"/>
        <v>64</v>
      </c>
      <c r="BA76" s="24" t="s">
        <v>26</v>
      </c>
      <c r="BB76" s="30">
        <v>1458712</v>
      </c>
      <c r="BC76" s="15">
        <f t="shared" si="20"/>
        <v>-30618</v>
      </c>
      <c r="BD76" s="15"/>
    </row>
    <row r="77" spans="12:56" ht="12.75">
      <c r="L77" s="4"/>
      <c r="M77" s="4"/>
      <c r="N77" s="4"/>
      <c r="O77" s="4"/>
      <c r="AE77" s="17"/>
      <c r="AJ77" s="25"/>
      <c r="AQ77" s="4"/>
      <c r="AR77" s="4"/>
      <c r="AS77" s="4"/>
      <c r="AT77" s="4"/>
      <c r="AU77" s="17"/>
      <c r="AZ77" s="17">
        <f t="shared" si="16"/>
        <v>65</v>
      </c>
      <c r="BA77" s="24" t="s">
        <v>25</v>
      </c>
      <c r="BB77" s="30">
        <v>250524822.2320833</v>
      </c>
      <c r="BC77" s="12">
        <f t="shared" si="20"/>
        <v>-5258516</v>
      </c>
      <c r="BD77" s="12"/>
    </row>
    <row r="78" spans="12:56" ht="12.75">
      <c r="L78" s="4"/>
      <c r="M78" s="4"/>
      <c r="N78" s="4"/>
      <c r="O78" s="4"/>
      <c r="AE78" s="17"/>
      <c r="AQ78" s="4"/>
      <c r="AR78" s="4"/>
      <c r="AS78" s="4"/>
      <c r="AT78" s="4"/>
      <c r="AU78" s="17"/>
      <c r="AY78" s="3" t="s">
        <v>24</v>
      </c>
      <c r="AZ78" s="17">
        <f aca="true" t="shared" si="21" ref="AZ78:AZ97">AZ77+1</f>
        <v>66</v>
      </c>
      <c r="BA78" s="24" t="s">
        <v>23</v>
      </c>
      <c r="BB78" s="30">
        <v>-54306612</v>
      </c>
      <c r="BC78" s="12">
        <f t="shared" si="20"/>
        <v>1139896</v>
      </c>
      <c r="BD78" s="12"/>
    </row>
    <row r="79" spans="12:56" ht="12.75">
      <c r="L79" s="4"/>
      <c r="M79" s="4"/>
      <c r="N79" s="4"/>
      <c r="O79" s="4"/>
      <c r="AE79" s="17"/>
      <c r="AQ79" s="4"/>
      <c r="AR79" s="4"/>
      <c r="AS79" s="4"/>
      <c r="AT79" s="4"/>
      <c r="AU79" s="17"/>
      <c r="AZ79" s="17">
        <f t="shared" si="21"/>
        <v>67</v>
      </c>
      <c r="BA79" s="3" t="s">
        <v>22</v>
      </c>
      <c r="BB79" s="29">
        <f>SUM(BB71:BB78)</f>
        <v>2396338731.627345</v>
      </c>
      <c r="BC79" s="29">
        <f>SUM(BC71:BC78)</f>
        <v>-50299149</v>
      </c>
      <c r="BD79" s="12"/>
    </row>
    <row r="80" spans="12:56" ht="12.75">
      <c r="L80" s="4"/>
      <c r="M80" s="4"/>
      <c r="N80" s="4"/>
      <c r="O80" s="4"/>
      <c r="AE80" s="17"/>
      <c r="AQ80" s="4"/>
      <c r="AR80" s="4"/>
      <c r="AS80" s="4"/>
      <c r="AT80" s="4"/>
      <c r="AU80" s="17"/>
      <c r="AZ80" s="17">
        <f t="shared" si="21"/>
        <v>68</v>
      </c>
      <c r="BB80" s="31"/>
      <c r="BC80" s="11"/>
      <c r="BD80" s="12"/>
    </row>
    <row r="81" spans="12:56" ht="12.75">
      <c r="L81" s="4"/>
      <c r="M81" s="4"/>
      <c r="N81" s="4"/>
      <c r="O81" s="4"/>
      <c r="AE81" s="17"/>
      <c r="AQ81" s="4"/>
      <c r="AR81" s="4"/>
      <c r="AS81" s="4"/>
      <c r="AT81" s="4"/>
      <c r="AU81" s="17"/>
      <c r="AZ81" s="17">
        <f t="shared" si="21"/>
        <v>69</v>
      </c>
      <c r="BA81" s="24" t="s">
        <v>21</v>
      </c>
      <c r="BB81" s="30">
        <f>-248409806+J17+Y17</f>
        <v>-315759925.0738541</v>
      </c>
      <c r="BC81" s="15">
        <f>-ROUND(BB81*$BC$11,0)</f>
        <v>6627801</v>
      </c>
      <c r="BD81" s="12"/>
    </row>
    <row r="82" spans="12:56" ht="12.75">
      <c r="L82" s="4"/>
      <c r="M82" s="4"/>
      <c r="N82" s="4"/>
      <c r="O82" s="4"/>
      <c r="AQ82" s="4"/>
      <c r="AR82" s="4"/>
      <c r="AS82" s="4"/>
      <c r="AT82" s="4"/>
      <c r="AU82" s="17"/>
      <c r="AZ82" s="17">
        <f t="shared" si="21"/>
        <v>70</v>
      </c>
      <c r="BA82" s="24" t="s">
        <v>20</v>
      </c>
      <c r="BB82" s="30">
        <v>15034874</v>
      </c>
      <c r="BC82" s="15">
        <f>-ROUND(BB82*$BC$11,0)</f>
        <v>-315582</v>
      </c>
      <c r="BD82" s="12"/>
    </row>
    <row r="83" spans="12:56" ht="12.75">
      <c r="L83" s="4"/>
      <c r="M83" s="4"/>
      <c r="N83" s="4"/>
      <c r="O83" s="4"/>
      <c r="AQ83" s="4"/>
      <c r="AR83" s="4"/>
      <c r="AS83" s="4"/>
      <c r="AT83" s="4"/>
      <c r="AU83" s="17"/>
      <c r="AZ83" s="17">
        <f t="shared" si="21"/>
        <v>71</v>
      </c>
      <c r="BA83" s="24" t="s">
        <v>19</v>
      </c>
      <c r="BB83" s="28">
        <f>SUM(BB81:BB82)</f>
        <v>-300725051.0738541</v>
      </c>
      <c r="BC83" s="28">
        <f>SUM(BC81:BC82)</f>
        <v>6312219</v>
      </c>
      <c r="BD83" s="12"/>
    </row>
    <row r="84" spans="12:56" ht="12.75">
      <c r="L84" s="4"/>
      <c r="M84" s="4"/>
      <c r="N84" s="4"/>
      <c r="O84" s="4"/>
      <c r="AQ84" s="4"/>
      <c r="AR84" s="4"/>
      <c r="AS84" s="4"/>
      <c r="AT84" s="4"/>
      <c r="AV84" s="25"/>
      <c r="AW84" s="25"/>
      <c r="AX84" s="25"/>
      <c r="AY84" s="25"/>
      <c r="AZ84" s="17">
        <f t="shared" si="21"/>
        <v>72</v>
      </c>
      <c r="BA84" s="24"/>
      <c r="BB84" s="29"/>
      <c r="BC84" s="28">
        <f>-ROUND(BB84*$BC$11,0)</f>
        <v>0</v>
      </c>
      <c r="BD84" s="12"/>
    </row>
    <row r="85" spans="12:56" ht="13.5" thickBot="1">
      <c r="L85" s="4"/>
      <c r="M85" s="4"/>
      <c r="N85" s="4"/>
      <c r="O85" s="4"/>
      <c r="AQ85" s="4"/>
      <c r="AR85" s="4"/>
      <c r="AS85" s="4"/>
      <c r="AT85" s="4"/>
      <c r="AV85" s="25"/>
      <c r="AW85" s="25"/>
      <c r="AX85" s="25"/>
      <c r="AY85" s="25"/>
      <c r="AZ85" s="17">
        <f t="shared" si="21"/>
        <v>73</v>
      </c>
      <c r="BA85" s="24" t="s">
        <v>18</v>
      </c>
      <c r="BB85" s="19">
        <f>BB79+BB83+BB84</f>
        <v>2095613680.553491</v>
      </c>
      <c r="BC85" s="19">
        <f>BC79+BC83+BC84</f>
        <v>-43986930</v>
      </c>
      <c r="BD85" s="19">
        <f>SUM(BB85:BC85)</f>
        <v>2051626750.553491</v>
      </c>
    </row>
    <row r="86" spans="12:56" ht="13.5" thickTop="1">
      <c r="L86" s="4"/>
      <c r="M86" s="4"/>
      <c r="N86" s="4"/>
      <c r="O86" s="4"/>
      <c r="AQ86" s="4"/>
      <c r="AR86" s="4"/>
      <c r="AS86" s="4"/>
      <c r="AT86" s="4"/>
      <c r="AV86" s="25"/>
      <c r="AW86" s="25"/>
      <c r="AX86" s="25"/>
      <c r="AZ86" s="17">
        <f t="shared" si="21"/>
        <v>74</v>
      </c>
      <c r="BB86" s="28"/>
      <c r="BC86" s="27"/>
      <c r="BD86" s="12"/>
    </row>
    <row r="87" spans="12:56" ht="12.75">
      <c r="L87" s="4"/>
      <c r="M87" s="4"/>
      <c r="N87" s="4"/>
      <c r="O87" s="4"/>
      <c r="AQ87" s="4"/>
      <c r="AR87" s="4"/>
      <c r="AS87" s="4"/>
      <c r="AT87" s="4"/>
      <c r="AV87" s="25"/>
      <c r="AW87" s="25"/>
      <c r="AX87" s="25"/>
      <c r="AY87" s="13"/>
      <c r="AZ87" s="17">
        <f t="shared" si="21"/>
        <v>75</v>
      </c>
      <c r="BA87" s="26" t="s">
        <v>17</v>
      </c>
      <c r="BB87" s="12"/>
      <c r="BC87" s="12"/>
      <c r="BD87" s="12"/>
    </row>
    <row r="88" spans="12:56" ht="12.75">
      <c r="L88" s="4"/>
      <c r="M88" s="4"/>
      <c r="N88" s="4"/>
      <c r="O88" s="4"/>
      <c r="AQ88" s="4"/>
      <c r="AR88" s="4"/>
      <c r="AS88" s="4"/>
      <c r="AT88" s="4"/>
      <c r="AV88" s="25"/>
      <c r="AW88" s="25"/>
      <c r="AX88" s="25"/>
      <c r="AY88" s="25"/>
      <c r="AZ88" s="17">
        <f t="shared" si="21"/>
        <v>76</v>
      </c>
      <c r="BA88" s="24" t="s">
        <v>16</v>
      </c>
      <c r="BB88" s="15">
        <f>AX14</f>
        <v>11214773.00999999</v>
      </c>
      <c r="BC88" s="15">
        <f aca="true" t="shared" si="22" ref="BC88:BC102">-ROUND(BB88*$BC$11,0)</f>
        <v>-235398</v>
      </c>
      <c r="BD88" s="15"/>
    </row>
    <row r="89" spans="12:56" ht="12.75">
      <c r="L89" s="4"/>
      <c r="M89" s="4"/>
      <c r="N89" s="4"/>
      <c r="O89" s="4"/>
      <c r="AQ89" s="4"/>
      <c r="AR89" s="4"/>
      <c r="AS89" s="4"/>
      <c r="AT89" s="4"/>
      <c r="AV89" s="25"/>
      <c r="AW89" s="25"/>
      <c r="AX89" s="25"/>
      <c r="AY89" s="25"/>
      <c r="AZ89" s="17">
        <f t="shared" si="21"/>
        <v>77</v>
      </c>
      <c r="BA89" s="24" t="s">
        <v>15</v>
      </c>
      <c r="BB89" s="15">
        <f>AX15</f>
        <v>34565277.37337757</v>
      </c>
      <c r="BC89" s="15">
        <f t="shared" si="22"/>
        <v>-725525</v>
      </c>
      <c r="BD89" s="15"/>
    </row>
    <row r="90" spans="12:56" ht="12.75">
      <c r="L90" s="4"/>
      <c r="M90" s="4"/>
      <c r="N90" s="4"/>
      <c r="O90" s="4"/>
      <c r="AQ90" s="4"/>
      <c r="AR90" s="4"/>
      <c r="AS90" s="4"/>
      <c r="AT90" s="4"/>
      <c r="AV90" s="25"/>
      <c r="AW90" s="25"/>
      <c r="AX90" s="25"/>
      <c r="AY90" s="25"/>
      <c r="AZ90" s="17">
        <f t="shared" si="21"/>
        <v>78</v>
      </c>
      <c r="BA90" s="24" t="s">
        <v>14</v>
      </c>
      <c r="BB90" s="15">
        <f>AX16</f>
        <v>24941806.74</v>
      </c>
      <c r="BC90" s="15">
        <f t="shared" si="22"/>
        <v>-523529</v>
      </c>
      <c r="BD90" s="15"/>
    </row>
    <row r="91" spans="12:56" ht="12.75">
      <c r="L91" s="4"/>
      <c r="M91" s="4"/>
      <c r="N91" s="4"/>
      <c r="O91" s="4"/>
      <c r="AQ91" s="4"/>
      <c r="AR91" s="4"/>
      <c r="AS91" s="4"/>
      <c r="AT91" s="4"/>
      <c r="AZ91" s="17">
        <f t="shared" si="21"/>
        <v>79</v>
      </c>
      <c r="BA91" s="23" t="s">
        <v>13</v>
      </c>
      <c r="BB91" s="15">
        <f>AX17</f>
        <v>-29911730</v>
      </c>
      <c r="BC91" s="15">
        <f t="shared" si="22"/>
        <v>627847</v>
      </c>
      <c r="BD91" s="15"/>
    </row>
    <row r="92" spans="12:56" ht="12.75">
      <c r="L92" s="4"/>
      <c r="M92" s="4"/>
      <c r="N92" s="4"/>
      <c r="O92" s="4"/>
      <c r="AQ92" s="4"/>
      <c r="AR92" s="4"/>
      <c r="AS92" s="4"/>
      <c r="AT92" s="4"/>
      <c r="AZ92" s="17">
        <f t="shared" si="21"/>
        <v>80</v>
      </c>
      <c r="BA92" s="24" t="s">
        <v>12</v>
      </c>
      <c r="BB92" s="15">
        <f>AX18</f>
        <v>-10331527.550000008</v>
      </c>
      <c r="BC92" s="15">
        <f t="shared" si="22"/>
        <v>216859</v>
      </c>
      <c r="BD92" s="15"/>
    </row>
    <row r="93" spans="12:56" ht="12.75">
      <c r="L93" s="4"/>
      <c r="M93" s="4"/>
      <c r="N93" s="4"/>
      <c r="O93" s="4"/>
      <c r="AQ93" s="4"/>
      <c r="AR93" s="4"/>
      <c r="AS93" s="4"/>
      <c r="AT93" s="4"/>
      <c r="AZ93" s="17">
        <f t="shared" si="21"/>
        <v>81</v>
      </c>
      <c r="BA93" s="23" t="s">
        <v>11</v>
      </c>
      <c r="BB93" s="15">
        <f>AX22</f>
        <v>-1529461.682666667</v>
      </c>
      <c r="BC93" s="15">
        <f t="shared" si="22"/>
        <v>32103</v>
      </c>
      <c r="BD93" s="15"/>
    </row>
    <row r="94" spans="12:56" ht="12.75">
      <c r="L94" s="4"/>
      <c r="M94" s="4"/>
      <c r="N94" s="4"/>
      <c r="O94" s="4"/>
      <c r="AQ94" s="4"/>
      <c r="AR94" s="4"/>
      <c r="AS94" s="4"/>
      <c r="AT94" s="4"/>
      <c r="AZ94" s="17">
        <f t="shared" si="21"/>
        <v>82</v>
      </c>
      <c r="BA94" s="23" t="s">
        <v>10</v>
      </c>
      <c r="BB94" s="15">
        <f>AX23</f>
        <v>-2096742.2330097083</v>
      </c>
      <c r="BC94" s="15">
        <f t="shared" si="22"/>
        <v>44011</v>
      </c>
      <c r="BD94" s="15"/>
    </row>
    <row r="95" spans="12:56" ht="12.75">
      <c r="L95" s="4"/>
      <c r="M95" s="4"/>
      <c r="N95" s="4"/>
      <c r="O95" s="4"/>
      <c r="AQ95" s="4"/>
      <c r="AR95" s="4"/>
      <c r="AS95" s="4"/>
      <c r="AT95" s="4"/>
      <c r="AZ95" s="17">
        <f t="shared" si="21"/>
        <v>83</v>
      </c>
      <c r="BA95" s="3" t="s">
        <v>9</v>
      </c>
      <c r="BB95" s="15">
        <f>AX24</f>
        <v>23180900.644329056</v>
      </c>
      <c r="BC95" s="15">
        <f t="shared" si="22"/>
        <v>-486567</v>
      </c>
      <c r="BD95" s="15"/>
    </row>
    <row r="96" spans="12:56" ht="12.75">
      <c r="L96" s="4"/>
      <c r="M96" s="4"/>
      <c r="N96" s="4"/>
      <c r="O96" s="4"/>
      <c r="AQ96" s="4"/>
      <c r="AR96" s="4"/>
      <c r="AS96" s="4"/>
      <c r="AT96" s="4"/>
      <c r="AZ96" s="17">
        <f t="shared" si="21"/>
        <v>84</v>
      </c>
      <c r="BA96" s="23" t="s">
        <v>8</v>
      </c>
      <c r="BB96" s="15">
        <f>AX26</f>
        <v>3981481.4814814813</v>
      </c>
      <c r="BC96" s="15">
        <f t="shared" si="22"/>
        <v>-83571</v>
      </c>
      <c r="BD96" s="15"/>
    </row>
    <row r="97" spans="12:56" ht="12.75">
      <c r="L97" s="4"/>
      <c r="M97" s="4"/>
      <c r="N97" s="4"/>
      <c r="O97" s="4"/>
      <c r="AQ97" s="4"/>
      <c r="AR97" s="4"/>
      <c r="AS97" s="4"/>
      <c r="AT97" s="4"/>
      <c r="AZ97" s="17">
        <f t="shared" si="21"/>
        <v>85</v>
      </c>
      <c r="BA97" s="23" t="s">
        <v>7</v>
      </c>
      <c r="BB97" s="15">
        <f>AX27</f>
        <v>1193197.5</v>
      </c>
      <c r="BC97" s="15">
        <f t="shared" si="22"/>
        <v>-25045</v>
      </c>
      <c r="BD97" s="15"/>
    </row>
    <row r="98" spans="12:56" ht="12.75">
      <c r="L98" s="4"/>
      <c r="M98" s="4"/>
      <c r="N98" s="4"/>
      <c r="O98" s="4"/>
      <c r="AQ98" s="4"/>
      <c r="AR98" s="4"/>
      <c r="AS98" s="4"/>
      <c r="AT98" s="4"/>
      <c r="AZ98" s="17">
        <f>AZ95+1</f>
        <v>84</v>
      </c>
      <c r="BA98" s="23" t="s">
        <v>6</v>
      </c>
      <c r="BB98" s="15">
        <f>+O14+O15</f>
        <v>99707854</v>
      </c>
      <c r="BC98" s="15">
        <f t="shared" si="22"/>
        <v>-2092868</v>
      </c>
      <c r="BD98" s="15"/>
    </row>
    <row r="99" spans="12:56" ht="12.75">
      <c r="L99" s="4"/>
      <c r="M99" s="4"/>
      <c r="N99" s="4"/>
      <c r="O99" s="4"/>
      <c r="AQ99" s="4"/>
      <c r="AR99" s="4"/>
      <c r="AS99" s="4"/>
      <c r="AT99" s="4"/>
      <c r="AZ99" s="17">
        <f aca="true" t="shared" si="23" ref="AZ99:AZ105">AZ98+1</f>
        <v>85</v>
      </c>
      <c r="BA99" s="23" t="s">
        <v>5</v>
      </c>
      <c r="BB99" s="15">
        <f>+N22</f>
        <v>10831055.024964996</v>
      </c>
      <c r="BC99" s="15">
        <f t="shared" si="22"/>
        <v>-227344</v>
      </c>
      <c r="BD99" s="15"/>
    </row>
    <row r="100" spans="12:56" ht="12.75">
      <c r="L100" s="4"/>
      <c r="M100" s="4"/>
      <c r="N100" s="4"/>
      <c r="O100" s="4"/>
      <c r="AQ100" s="4"/>
      <c r="AR100" s="4"/>
      <c r="AS100" s="4"/>
      <c r="AT100" s="4"/>
      <c r="AZ100" s="17">
        <f t="shared" si="23"/>
        <v>86</v>
      </c>
      <c r="BA100" s="23" t="s">
        <v>4</v>
      </c>
      <c r="BB100" s="15">
        <f>+AT14+AT15+AT16</f>
        <v>117130302.1673249</v>
      </c>
      <c r="BC100" s="15">
        <f t="shared" si="22"/>
        <v>-2458565</v>
      </c>
      <c r="BD100" s="15"/>
    </row>
    <row r="101" spans="12:56" ht="12.75">
      <c r="L101" s="4"/>
      <c r="M101" s="4"/>
      <c r="N101" s="4"/>
      <c r="O101" s="4"/>
      <c r="AQ101" s="4"/>
      <c r="AR101" s="4"/>
      <c r="AS101" s="4"/>
      <c r="AT101" s="4"/>
      <c r="AZ101" s="17">
        <f t="shared" si="23"/>
        <v>87</v>
      </c>
      <c r="BA101" s="23" t="s">
        <v>3</v>
      </c>
      <c r="BB101" s="22">
        <f>+AT23</f>
        <v>18500000</v>
      </c>
      <c r="BC101" s="15">
        <f t="shared" si="22"/>
        <v>-388315</v>
      </c>
      <c r="BD101" s="15"/>
    </row>
    <row r="102" spans="12:56" ht="12.75">
      <c r="L102" s="4"/>
      <c r="M102" s="4"/>
      <c r="N102" s="4"/>
      <c r="O102" s="4"/>
      <c r="AQ102" s="4"/>
      <c r="AR102" s="4"/>
      <c r="AS102" s="4"/>
      <c r="AT102" s="4"/>
      <c r="AZ102" s="17">
        <f t="shared" si="23"/>
        <v>88</v>
      </c>
      <c r="BA102" s="23" t="s">
        <v>2</v>
      </c>
      <c r="BB102" s="22">
        <f>SUM(AX29:AX33)</f>
        <v>1627204.6270833334</v>
      </c>
      <c r="BC102" s="15">
        <f t="shared" si="22"/>
        <v>-34155</v>
      </c>
      <c r="BD102" s="15"/>
    </row>
    <row r="103" spans="12:56" ht="12.75">
      <c r="L103" s="4"/>
      <c r="M103" s="4"/>
      <c r="N103" s="4"/>
      <c r="O103" s="4"/>
      <c r="AQ103" s="4"/>
      <c r="AR103" s="4"/>
      <c r="AS103" s="4"/>
      <c r="AT103" s="4"/>
      <c r="AZ103" s="17">
        <f t="shared" si="23"/>
        <v>89</v>
      </c>
      <c r="BA103" s="3" t="s">
        <v>1</v>
      </c>
      <c r="BB103" s="21">
        <f>SUM(BB88:BB102)</f>
        <v>303004391.10288495</v>
      </c>
      <c r="BC103" s="21">
        <f>SUM(BC88:BC102)</f>
        <v>-6360062</v>
      </c>
      <c r="BD103" s="21">
        <f>SUM(BB103:BC103)</f>
        <v>296644329.10288495</v>
      </c>
    </row>
    <row r="104" spans="12:56" ht="12.75">
      <c r="L104" s="4"/>
      <c r="M104" s="4"/>
      <c r="N104" s="4"/>
      <c r="O104" s="4"/>
      <c r="AQ104" s="4"/>
      <c r="AR104" s="4"/>
      <c r="AS104" s="4"/>
      <c r="AT104" s="4"/>
      <c r="AZ104" s="17">
        <f t="shared" si="23"/>
        <v>90</v>
      </c>
      <c r="BB104" s="12"/>
      <c r="BC104" s="20"/>
      <c r="BD104" s="12"/>
    </row>
    <row r="105" spans="12:56" ht="13.5" thickBot="1">
      <c r="L105" s="4"/>
      <c r="M105" s="4"/>
      <c r="N105" s="4"/>
      <c r="O105" s="4"/>
      <c r="AQ105" s="4"/>
      <c r="AR105" s="4"/>
      <c r="AS105" s="4"/>
      <c r="AT105" s="4"/>
      <c r="AZ105" s="17">
        <f t="shared" si="23"/>
        <v>91</v>
      </c>
      <c r="BA105" s="3" t="s">
        <v>0</v>
      </c>
      <c r="BB105" s="18"/>
      <c r="BC105" s="19">
        <f>SUM(BC85,BC103)</f>
        <v>-50346992</v>
      </c>
      <c r="BD105" s="18"/>
    </row>
    <row r="106" spans="12:56" ht="13.5" thickTop="1">
      <c r="L106" s="4"/>
      <c r="M106" s="4"/>
      <c r="N106" s="4"/>
      <c r="O106" s="4"/>
      <c r="AQ106" s="4"/>
      <c r="AR106" s="4"/>
      <c r="AS106" s="4"/>
      <c r="AT106" s="4"/>
      <c r="AZ106" s="17"/>
      <c r="BB106" s="15"/>
      <c r="BD106" s="14"/>
    </row>
    <row r="107" spans="12:54" ht="12.75">
      <c r="L107" s="4"/>
      <c r="M107" s="4"/>
      <c r="N107" s="4"/>
      <c r="O107" s="4"/>
      <c r="AQ107" s="4"/>
      <c r="AR107" s="4"/>
      <c r="AS107" s="4"/>
      <c r="AT107" s="4"/>
      <c r="BA107" s="16"/>
      <c r="BB107" s="15"/>
    </row>
    <row r="108" spans="12:56" ht="12.75">
      <c r="L108" s="4"/>
      <c r="M108" s="4"/>
      <c r="N108" s="4"/>
      <c r="O108" s="4"/>
      <c r="AQ108" s="4"/>
      <c r="AR108" s="4"/>
      <c r="AS108" s="4"/>
      <c r="AT108" s="4"/>
      <c r="BA108" s="16"/>
      <c r="BB108" s="15"/>
      <c r="BC108" s="14"/>
      <c r="BD108" s="13"/>
    </row>
    <row r="109" spans="12:58" ht="12.75">
      <c r="L109" s="4"/>
      <c r="M109" s="4"/>
      <c r="N109" s="4"/>
      <c r="O109" s="4"/>
      <c r="AQ109" s="4"/>
      <c r="AR109" s="4"/>
      <c r="AS109" s="4"/>
      <c r="AT109" s="4"/>
      <c r="BA109" s="4"/>
      <c r="BB109" s="12"/>
      <c r="BC109" s="10"/>
      <c r="BD109" s="4"/>
      <c r="BE109" s="4"/>
      <c r="BF109" s="4"/>
    </row>
    <row r="110" spans="12:58" ht="12.75">
      <c r="L110" s="4"/>
      <c r="M110" s="4"/>
      <c r="N110" s="4"/>
      <c r="O110" s="4"/>
      <c r="AQ110" s="4"/>
      <c r="AR110" s="4"/>
      <c r="AS110" s="4"/>
      <c r="AT110" s="4"/>
      <c r="BA110" s="4"/>
      <c r="BB110" s="12"/>
      <c r="BC110" s="10"/>
      <c r="BD110" s="4"/>
      <c r="BE110" s="4"/>
      <c r="BF110" s="4"/>
    </row>
    <row r="111" spans="12:58" ht="12.75">
      <c r="L111" s="4"/>
      <c r="M111" s="4"/>
      <c r="N111" s="4"/>
      <c r="O111" s="4"/>
      <c r="AQ111" s="4"/>
      <c r="AR111" s="4"/>
      <c r="AS111" s="4"/>
      <c r="AT111" s="4"/>
      <c r="BA111" s="4"/>
      <c r="BB111" s="12"/>
      <c r="BC111" s="10"/>
      <c r="BD111" s="4"/>
      <c r="BE111" s="5"/>
      <c r="BF111" s="5"/>
    </row>
    <row r="112" spans="12:58" ht="12.75">
      <c r="L112" s="4"/>
      <c r="M112" s="4"/>
      <c r="N112" s="4"/>
      <c r="O112" s="4"/>
      <c r="AQ112" s="4"/>
      <c r="AR112" s="4"/>
      <c r="AS112" s="4"/>
      <c r="AT112" s="4"/>
      <c r="BA112" s="5"/>
      <c r="BB112" s="5"/>
      <c r="BC112" s="5"/>
      <c r="BD112" s="5"/>
      <c r="BE112" s="4"/>
      <c r="BF112" s="4"/>
    </row>
    <row r="113" spans="12:58" ht="12.75">
      <c r="L113" s="4"/>
      <c r="M113" s="4"/>
      <c r="N113" s="4"/>
      <c r="O113" s="4"/>
      <c r="AQ113" s="4"/>
      <c r="AR113" s="4"/>
      <c r="AS113" s="4"/>
      <c r="AT113" s="4"/>
      <c r="BA113" s="4"/>
      <c r="BB113" s="11"/>
      <c r="BC113" s="10"/>
      <c r="BD113" s="4"/>
      <c r="BE113" s="4"/>
      <c r="BF113" s="4"/>
    </row>
    <row r="114" spans="12:58" ht="12.75">
      <c r="L114" s="4"/>
      <c r="M114" s="4"/>
      <c r="N114" s="4"/>
      <c r="O114" s="4"/>
      <c r="AQ114" s="4"/>
      <c r="AR114" s="4"/>
      <c r="AS114" s="4"/>
      <c r="AT114" s="4"/>
      <c r="BA114" s="9"/>
      <c r="BB114" s="8"/>
      <c r="BC114" s="8"/>
      <c r="BD114" s="4"/>
      <c r="BE114" s="4"/>
      <c r="BF114" s="4"/>
    </row>
    <row r="115" spans="12:58" ht="12.75">
      <c r="L115" s="4"/>
      <c r="M115" s="4"/>
      <c r="N115" s="4"/>
      <c r="O115" s="4"/>
      <c r="AQ115" s="4"/>
      <c r="AR115" s="4"/>
      <c r="AS115" s="4"/>
      <c r="AT115" s="4"/>
      <c r="BA115" s="7"/>
      <c r="BB115" s="5"/>
      <c r="BC115" s="5"/>
      <c r="BD115" s="4"/>
      <c r="BE115" s="4"/>
      <c r="BF115" s="4"/>
    </row>
    <row r="116" spans="12:58" ht="12.75">
      <c r="L116" s="4"/>
      <c r="M116" s="4"/>
      <c r="N116" s="4"/>
      <c r="O116" s="4"/>
      <c r="AQ116" s="4"/>
      <c r="AR116" s="4"/>
      <c r="AS116" s="4"/>
      <c r="AT116" s="4"/>
      <c r="BA116" s="7"/>
      <c r="BB116" s="5"/>
      <c r="BC116" s="5"/>
      <c r="BD116" s="4"/>
      <c r="BE116" s="5"/>
      <c r="BF116" s="5"/>
    </row>
    <row r="117" spans="12:58" ht="12.75">
      <c r="L117" s="4"/>
      <c r="M117" s="4"/>
      <c r="N117" s="4"/>
      <c r="O117" s="4"/>
      <c r="AQ117" s="4"/>
      <c r="AR117" s="4"/>
      <c r="AS117" s="4"/>
      <c r="AT117" s="4"/>
      <c r="BA117" s="6"/>
      <c r="BB117" s="5"/>
      <c r="BC117" s="5"/>
      <c r="BD117" s="5"/>
      <c r="BE117" s="5"/>
      <c r="BF117" s="5"/>
    </row>
    <row r="118" spans="12:58" ht="12.75">
      <c r="L118" s="4"/>
      <c r="M118" s="4"/>
      <c r="N118" s="4"/>
      <c r="O118" s="4"/>
      <c r="BA118" s="6"/>
      <c r="BB118" s="5"/>
      <c r="BC118" s="5"/>
      <c r="BD118" s="5"/>
      <c r="BE118" s="5"/>
      <c r="BF118" s="5"/>
    </row>
    <row r="119" spans="12:58" ht="12.75">
      <c r="L119" s="4"/>
      <c r="M119" s="4"/>
      <c r="N119" s="4"/>
      <c r="O119" s="4"/>
      <c r="BA119" s="6"/>
      <c r="BB119" s="5"/>
      <c r="BC119" s="5"/>
      <c r="BD119" s="5"/>
      <c r="BE119" s="5"/>
      <c r="BF119" s="5"/>
    </row>
    <row r="120" spans="12:58" ht="12.75">
      <c r="L120" s="4"/>
      <c r="M120" s="4"/>
      <c r="N120" s="4"/>
      <c r="O120" s="4"/>
      <c r="BA120" s="6"/>
      <c r="BB120" s="5"/>
      <c r="BC120" s="5"/>
      <c r="BD120" s="5"/>
      <c r="BE120" s="4"/>
      <c r="BF120" s="4"/>
    </row>
    <row r="121" spans="12:58" ht="12.75">
      <c r="L121" s="4"/>
      <c r="M121" s="4"/>
      <c r="N121" s="4"/>
      <c r="O121" s="4"/>
      <c r="BA121" s="4"/>
      <c r="BB121" s="4"/>
      <c r="BC121" s="4"/>
      <c r="BD121" s="4"/>
      <c r="BE121" s="4"/>
      <c r="BF121" s="4"/>
    </row>
    <row r="122" spans="12:58" ht="12.75">
      <c r="L122" s="4"/>
      <c r="M122" s="4"/>
      <c r="N122" s="4"/>
      <c r="O122" s="4"/>
      <c r="BA122" s="5"/>
      <c r="BB122" s="5"/>
      <c r="BC122" s="5"/>
      <c r="BD122" s="5"/>
      <c r="BE122" s="4"/>
      <c r="BF122" s="4"/>
    </row>
    <row r="123" spans="12:56" ht="12.75">
      <c r="L123" s="4"/>
      <c r="M123" s="4"/>
      <c r="N123" s="4"/>
      <c r="O123" s="4"/>
      <c r="BA123" s="2"/>
      <c r="BB123" s="2"/>
      <c r="BC123" s="2"/>
      <c r="BD123" s="2"/>
    </row>
    <row r="124" spans="12:56" ht="12.75">
      <c r="L124" s="4"/>
      <c r="M124" s="4"/>
      <c r="N124" s="4"/>
      <c r="O124" s="4"/>
      <c r="BA124" s="2"/>
      <c r="BB124" s="2"/>
      <c r="BC124" s="2"/>
      <c r="BD124" s="2"/>
    </row>
    <row r="125" spans="12:56" ht="12.75">
      <c r="L125" s="4"/>
      <c r="M125" s="4"/>
      <c r="N125" s="4"/>
      <c r="O125" s="4"/>
      <c r="BA125" s="2"/>
      <c r="BB125" s="2"/>
      <c r="BC125" s="2"/>
      <c r="BD125" s="2"/>
    </row>
    <row r="126" spans="12:56" ht="12.75">
      <c r="L126" s="4"/>
      <c r="M126" s="4"/>
      <c r="N126" s="4"/>
      <c r="O126" s="4"/>
      <c r="BA126" s="2"/>
      <c r="BB126" s="2"/>
      <c r="BC126" s="2"/>
      <c r="BD126" s="2"/>
    </row>
    <row r="127" spans="53:56" ht="12.75">
      <c r="BA127" s="2"/>
      <c r="BB127" s="2"/>
      <c r="BC127" s="2"/>
      <c r="BD127" s="2"/>
    </row>
    <row r="128" spans="53:56" ht="12.75">
      <c r="BA128" s="2"/>
      <c r="BB128" s="2"/>
      <c r="BC128" s="2"/>
      <c r="BD128" s="2"/>
    </row>
    <row r="129" spans="53:56" ht="12.75">
      <c r="BA129" s="2"/>
      <c r="BB129" s="2"/>
      <c r="BC129" s="2"/>
      <c r="BD129" s="2"/>
    </row>
    <row r="130" spans="53:56" ht="12.75">
      <c r="BA130" s="2"/>
      <c r="BB130" s="2"/>
      <c r="BC130" s="2"/>
      <c r="BD130" s="2"/>
    </row>
    <row r="131" spans="53:56" ht="12.75">
      <c r="BA131" s="2"/>
      <c r="BB131" s="2"/>
      <c r="BC131" s="2"/>
      <c r="BD131" s="2"/>
    </row>
    <row r="132" spans="53:56" ht="12.75">
      <c r="BA132" s="2"/>
      <c r="BB132" s="2"/>
      <c r="BC132" s="2"/>
      <c r="BD132" s="2"/>
    </row>
    <row r="133" spans="53:56" ht="12.75">
      <c r="BA133" s="2"/>
      <c r="BB133" s="2"/>
      <c r="BC133" s="2"/>
      <c r="BD133" s="2"/>
    </row>
    <row r="134" spans="53:56" ht="12.75">
      <c r="BA134" s="2"/>
      <c r="BB134" s="2"/>
      <c r="BC134" s="2"/>
      <c r="BD134" s="2"/>
    </row>
    <row r="135" spans="53:56" ht="12.75">
      <c r="BA135" s="2"/>
      <c r="BB135" s="2"/>
      <c r="BC135" s="2"/>
      <c r="BD135" s="2"/>
    </row>
    <row r="136" spans="53:56" ht="12.75">
      <c r="BA136" s="2"/>
      <c r="BB136" s="2"/>
      <c r="BC136" s="2"/>
      <c r="BD136" s="2"/>
    </row>
    <row r="137" spans="53:56" ht="12.75">
      <c r="BA137" s="2"/>
      <c r="BB137" s="2"/>
      <c r="BC137" s="2"/>
      <c r="BD137" s="2"/>
    </row>
    <row r="138" spans="53:56" ht="12.75">
      <c r="BA138" s="2"/>
      <c r="BB138" s="2"/>
      <c r="BC138" s="2"/>
      <c r="BD138" s="2"/>
    </row>
    <row r="139" spans="53:56" ht="12.75">
      <c r="BA139" s="2"/>
      <c r="BB139" s="2"/>
      <c r="BC139" s="2"/>
      <c r="BD139" s="2"/>
    </row>
    <row r="140" spans="53:56" ht="12.75">
      <c r="BA140" s="2"/>
      <c r="BB140" s="2"/>
      <c r="BC140" s="2"/>
      <c r="BD140" s="2"/>
    </row>
    <row r="141" spans="53:56" ht="12.75">
      <c r="BA141" s="2"/>
      <c r="BB141" s="2"/>
      <c r="BC141" s="2"/>
      <c r="BD141" s="2"/>
    </row>
    <row r="142" spans="53:56" ht="12.75">
      <c r="BA142" s="2"/>
      <c r="BB142" s="2"/>
      <c r="BC142" s="2"/>
      <c r="BD142" s="2"/>
    </row>
    <row r="143" spans="53:56" ht="12.75">
      <c r="BA143" s="2"/>
      <c r="BB143" s="2"/>
      <c r="BC143" s="2"/>
      <c r="BD143" s="2"/>
    </row>
    <row r="144" spans="53:56" ht="12.75">
      <c r="BA144" s="2"/>
      <c r="BB144" s="2"/>
      <c r="BC144" s="2"/>
      <c r="BD144" s="2"/>
    </row>
    <row r="145" spans="53:56" ht="12.75">
      <c r="BA145" s="2"/>
      <c r="BB145" s="2"/>
      <c r="BC145" s="2"/>
      <c r="BD145" s="2"/>
    </row>
    <row r="146" spans="53:56" ht="12.75">
      <c r="BA146" s="2"/>
      <c r="BB146" s="2"/>
      <c r="BC146" s="2"/>
      <c r="BD146" s="2"/>
    </row>
    <row r="147" spans="53:56" ht="12.75">
      <c r="BA147" s="2"/>
      <c r="BB147" s="2"/>
      <c r="BC147" s="2"/>
      <c r="BD147" s="2"/>
    </row>
    <row r="148" spans="53:56" ht="12.75">
      <c r="BA148" s="2"/>
      <c r="BB148" s="2"/>
      <c r="BC148" s="2"/>
      <c r="BD148" s="2"/>
    </row>
    <row r="149" spans="53:56" ht="12.75">
      <c r="BA149" s="2"/>
      <c r="BB149" s="2"/>
      <c r="BC149" s="2"/>
      <c r="BD149" s="2"/>
    </row>
    <row r="150" spans="53:56" ht="12.75">
      <c r="BA150" s="2"/>
      <c r="BB150" s="2"/>
      <c r="BC150" s="2"/>
      <c r="BD150" s="2"/>
    </row>
    <row r="151" spans="53:56" ht="12.75">
      <c r="BA151" s="2"/>
      <c r="BB151" s="2"/>
      <c r="BC151" s="2"/>
      <c r="BD151" s="2"/>
    </row>
    <row r="152" spans="53:56" ht="12.75">
      <c r="BA152" s="2"/>
      <c r="BB152" s="2"/>
      <c r="BC152" s="2"/>
      <c r="BD152" s="2"/>
    </row>
    <row r="153" spans="53:56" ht="12.75">
      <c r="BA153" s="2"/>
      <c r="BB153" s="2"/>
      <c r="BC153" s="2"/>
      <c r="BD153" s="2"/>
    </row>
    <row r="154" spans="53:56" ht="12.75">
      <c r="BA154" s="2"/>
      <c r="BB154" s="2"/>
      <c r="BC154" s="2"/>
      <c r="BD154" s="2"/>
    </row>
    <row r="155" spans="53:56" ht="12.75">
      <c r="BA155" s="2"/>
      <c r="BB155" s="2"/>
      <c r="BC155" s="2"/>
      <c r="BD155" s="2"/>
    </row>
    <row r="156" spans="53:56" ht="12.75">
      <c r="BA156" s="2"/>
      <c r="BB156" s="2"/>
      <c r="BC156" s="2"/>
      <c r="BD156" s="2"/>
    </row>
    <row r="157" spans="53:56" ht="12.75">
      <c r="BA157" s="2"/>
      <c r="BB157" s="2"/>
      <c r="BC157" s="2"/>
      <c r="BD157" s="2"/>
    </row>
    <row r="158" spans="53:56" ht="12.75">
      <c r="BA158" s="2"/>
      <c r="BB158" s="2"/>
      <c r="BC158" s="2"/>
      <c r="BD158" s="2"/>
    </row>
    <row r="159" spans="53:56" ht="12.75">
      <c r="BA159" s="2"/>
      <c r="BB159" s="2"/>
      <c r="BC159" s="2"/>
      <c r="BD159" s="2"/>
    </row>
    <row r="160" spans="53:56" ht="12.75">
      <c r="BA160" s="2"/>
      <c r="BB160" s="2"/>
      <c r="BC160" s="2"/>
      <c r="BD160" s="2"/>
    </row>
    <row r="161" spans="53:56" ht="12.75">
      <c r="BA161" s="2"/>
      <c r="BB161" s="2"/>
      <c r="BC161" s="2"/>
      <c r="BD161" s="2"/>
    </row>
    <row r="162" spans="53:56" ht="12.75">
      <c r="BA162" s="2"/>
      <c r="BB162" s="2"/>
      <c r="BC162" s="2"/>
      <c r="BD162" s="2"/>
    </row>
    <row r="163" spans="53:56" ht="12.75">
      <c r="BA163" s="2"/>
      <c r="BB163" s="2"/>
      <c r="BC163" s="2"/>
      <c r="BD163" s="2"/>
    </row>
    <row r="164" spans="53:56" ht="12.75">
      <c r="BA164" s="2"/>
      <c r="BB164" s="2"/>
      <c r="BC164" s="2"/>
      <c r="BD164" s="2"/>
    </row>
    <row r="165" spans="53:56" ht="12.75">
      <c r="BA165" s="2"/>
      <c r="BB165" s="2"/>
      <c r="BC165" s="2"/>
      <c r="BD165" s="2"/>
    </row>
    <row r="166" spans="53:56" ht="12.75">
      <c r="BA166" s="2"/>
      <c r="BB166" s="2"/>
      <c r="BC166" s="2"/>
      <c r="BD166" s="2"/>
    </row>
    <row r="167" spans="53:56" ht="12.75">
      <c r="BA167" s="2"/>
      <c r="BB167" s="2"/>
      <c r="BC167" s="2"/>
      <c r="BD167" s="2"/>
    </row>
    <row r="168" spans="53:56" ht="12.75">
      <c r="BA168" s="2"/>
      <c r="BB168" s="2"/>
      <c r="BC168" s="2"/>
      <c r="BD168" s="2"/>
    </row>
    <row r="169" spans="53:56" ht="12.75">
      <c r="BA169" s="2"/>
      <c r="BB169" s="2"/>
      <c r="BC169" s="2"/>
      <c r="BD169" s="2"/>
    </row>
    <row r="170" spans="53:56" ht="12.75">
      <c r="BA170" s="2"/>
      <c r="BB170" s="2"/>
      <c r="BC170" s="2"/>
      <c r="BD170" s="2"/>
    </row>
    <row r="171" spans="53:56" ht="12.75">
      <c r="BA171" s="2"/>
      <c r="BB171" s="2"/>
      <c r="BC171" s="2"/>
      <c r="BD171" s="2"/>
    </row>
    <row r="172" spans="53:56" ht="12.75">
      <c r="BA172" s="2"/>
      <c r="BB172" s="2"/>
      <c r="BC172" s="2"/>
      <c r="BD172" s="2"/>
    </row>
    <row r="173" spans="53:56" ht="12.75">
      <c r="BA173" s="2"/>
      <c r="BB173" s="2"/>
      <c r="BC173" s="2"/>
      <c r="BD173" s="2"/>
    </row>
    <row r="174" spans="53:56" ht="12.75">
      <c r="BA174" s="2"/>
      <c r="BB174" s="2"/>
      <c r="BC174" s="2"/>
      <c r="BD174" s="2"/>
    </row>
    <row r="175" spans="53:56" ht="12.75">
      <c r="BA175" s="2"/>
      <c r="BB175" s="2"/>
      <c r="BC175" s="2"/>
      <c r="BD175" s="2"/>
    </row>
    <row r="176" spans="53:56" ht="12.75">
      <c r="BA176" s="2"/>
      <c r="BB176" s="2"/>
      <c r="BC176" s="2"/>
      <c r="BD176" s="2"/>
    </row>
    <row r="177" spans="53:56" ht="12.75">
      <c r="BA177" s="2"/>
      <c r="BB177" s="2"/>
      <c r="BC177" s="2"/>
      <c r="BD177" s="2"/>
    </row>
    <row r="178" spans="53:56" ht="12.75">
      <c r="BA178" s="2"/>
      <c r="BB178" s="2"/>
      <c r="BC178" s="2"/>
      <c r="BD178" s="2"/>
    </row>
    <row r="179" spans="53:56" ht="12.75">
      <c r="BA179" s="2"/>
      <c r="BB179" s="2"/>
      <c r="BC179" s="2"/>
      <c r="BD179" s="2"/>
    </row>
    <row r="180" spans="53:56" ht="12.75">
      <c r="BA180" s="2"/>
      <c r="BB180" s="2"/>
      <c r="BC180" s="2"/>
      <c r="BD180" s="2"/>
    </row>
    <row r="181" spans="53:56" ht="12.75">
      <c r="BA181" s="2"/>
      <c r="BB181" s="2"/>
      <c r="BC181" s="2"/>
      <c r="BD181" s="2"/>
    </row>
    <row r="182" spans="53:56" ht="12.75">
      <c r="BA182" s="2"/>
      <c r="BB182" s="2"/>
      <c r="BC182" s="2"/>
      <c r="BD182" s="2"/>
    </row>
    <row r="183" spans="53:56" ht="12.75">
      <c r="BA183" s="2"/>
      <c r="BB183" s="2"/>
      <c r="BC183" s="2"/>
      <c r="BD183" s="2"/>
    </row>
    <row r="184" spans="53:56" ht="12.75">
      <c r="BA184" s="2"/>
      <c r="BB184" s="2"/>
      <c r="BC184" s="2"/>
      <c r="BD184" s="2"/>
    </row>
    <row r="185" spans="53:56" ht="12.75">
      <c r="BA185" s="2"/>
      <c r="BB185" s="2"/>
      <c r="BC185" s="2"/>
      <c r="BD185" s="2"/>
    </row>
    <row r="186" spans="53:56" ht="12.75">
      <c r="BA186" s="2"/>
      <c r="BB186" s="2"/>
      <c r="BC186" s="2"/>
      <c r="BD186" s="2"/>
    </row>
    <row r="187" spans="53:56" ht="12.75">
      <c r="BA187" s="2"/>
      <c r="BB187" s="2"/>
      <c r="BC187" s="2"/>
      <c r="BD187" s="2"/>
    </row>
    <row r="188" spans="53:56" ht="12.75">
      <c r="BA188" s="2"/>
      <c r="BB188" s="2"/>
      <c r="BC188" s="2"/>
      <c r="BD188" s="2"/>
    </row>
    <row r="189" spans="53:56" ht="12.75">
      <c r="BA189" s="2"/>
      <c r="BB189" s="2"/>
      <c r="BC189" s="2"/>
      <c r="BD189" s="2"/>
    </row>
    <row r="190" spans="53:56" ht="12.75">
      <c r="BA190" s="2"/>
      <c r="BB190" s="2"/>
      <c r="BC190" s="2"/>
      <c r="BD190" s="2"/>
    </row>
    <row r="191" spans="53:56" ht="12.75">
      <c r="BA191" s="2"/>
      <c r="BB191" s="2"/>
      <c r="BC191" s="2"/>
      <c r="BD191" s="2"/>
    </row>
    <row r="192" spans="53:56" ht="12.75">
      <c r="BA192" s="2"/>
      <c r="BB192" s="2"/>
      <c r="BC192" s="2"/>
      <c r="BD192" s="2"/>
    </row>
    <row r="193" spans="53:56" ht="12.75">
      <c r="BA193" s="2"/>
      <c r="BB193" s="2"/>
      <c r="BC193" s="2"/>
      <c r="BD193" s="2"/>
    </row>
    <row r="194" spans="53:56" ht="12.75">
      <c r="BA194" s="2"/>
      <c r="BB194" s="2"/>
      <c r="BC194" s="2"/>
      <c r="BD194" s="2"/>
    </row>
    <row r="195" spans="53:56" ht="12.75">
      <c r="BA195" s="2"/>
      <c r="BB195" s="2"/>
      <c r="BC195" s="2"/>
      <c r="BD195" s="2"/>
    </row>
    <row r="196" spans="53:56" ht="12.75">
      <c r="BA196" s="2"/>
      <c r="BB196" s="2"/>
      <c r="BC196" s="2"/>
      <c r="BD196" s="2"/>
    </row>
    <row r="197" spans="53:56" ht="12.75">
      <c r="BA197" s="2"/>
      <c r="BB197" s="2"/>
      <c r="BC197" s="2"/>
      <c r="BD197" s="2"/>
    </row>
    <row r="198" spans="53:56" ht="12.75">
      <c r="BA198" s="2"/>
      <c r="BB198" s="2"/>
      <c r="BC198" s="2"/>
      <c r="BD198" s="2"/>
    </row>
    <row r="199" spans="53:56" ht="12.75">
      <c r="BA199" s="2"/>
      <c r="BB199" s="2"/>
      <c r="BC199" s="2"/>
      <c r="BD199" s="2"/>
    </row>
    <row r="200" spans="53:56" ht="12.75">
      <c r="BA200" s="2"/>
      <c r="BB200" s="2"/>
      <c r="BC200" s="2"/>
      <c r="BD200" s="2"/>
    </row>
    <row r="201" spans="53:56" ht="12.75">
      <c r="BA201" s="2"/>
      <c r="BB201" s="2"/>
      <c r="BC201" s="2"/>
      <c r="BD201" s="2"/>
    </row>
    <row r="202" spans="53:56" ht="12.75">
      <c r="BA202" s="2"/>
      <c r="BB202" s="2"/>
      <c r="BC202" s="2"/>
      <c r="BD202" s="2"/>
    </row>
    <row r="203" spans="53:56" ht="12.75">
      <c r="BA203" s="2"/>
      <c r="BB203" s="2"/>
      <c r="BC203" s="2"/>
      <c r="BD203" s="2"/>
    </row>
    <row r="204" spans="53:56" ht="12.75">
      <c r="BA204" s="2"/>
      <c r="BB204" s="2"/>
      <c r="BC204" s="2"/>
      <c r="BD204" s="2"/>
    </row>
    <row r="205" spans="53:56" ht="12.75">
      <c r="BA205" s="2"/>
      <c r="BB205" s="2"/>
      <c r="BC205" s="2"/>
      <c r="BD205" s="2"/>
    </row>
    <row r="206" spans="53:56" ht="12.75">
      <c r="BA206" s="2"/>
      <c r="BB206" s="2"/>
      <c r="BC206" s="2"/>
      <c r="BD206" s="2"/>
    </row>
    <row r="207" spans="53:56" ht="12.75">
      <c r="BA207" s="2"/>
      <c r="BB207" s="2"/>
      <c r="BC207" s="2"/>
      <c r="BD207" s="2"/>
    </row>
    <row r="208" spans="53:56" ht="12.75">
      <c r="BA208" s="2"/>
      <c r="BB208" s="2"/>
      <c r="BC208" s="2"/>
      <c r="BD208" s="2"/>
    </row>
    <row r="209" spans="53:56" ht="12.75">
      <c r="BA209" s="2"/>
      <c r="BB209" s="2"/>
      <c r="BC209" s="2"/>
      <c r="BD209" s="2"/>
    </row>
    <row r="210" spans="53:56" ht="12.75">
      <c r="BA210" s="2"/>
      <c r="BB210" s="2"/>
      <c r="BC210" s="2"/>
      <c r="BD210" s="2"/>
    </row>
    <row r="211" spans="53:56" ht="12.75">
      <c r="BA211" s="2"/>
      <c r="BB211" s="2"/>
      <c r="BC211" s="2"/>
      <c r="BD211" s="2"/>
    </row>
    <row r="212" spans="53:56" ht="12.75">
      <c r="BA212" s="2"/>
      <c r="BB212" s="2"/>
      <c r="BC212" s="2"/>
      <c r="BD212" s="2"/>
    </row>
    <row r="213" spans="53:56" ht="12.75">
      <c r="BA213" s="2"/>
      <c r="BB213" s="2"/>
      <c r="BC213" s="2"/>
      <c r="BD213" s="2"/>
    </row>
    <row r="214" spans="53:56" ht="12.75">
      <c r="BA214" s="2"/>
      <c r="BB214" s="2"/>
      <c r="BC214" s="2"/>
      <c r="BD214" s="2"/>
    </row>
    <row r="215" spans="53:56" ht="12.75">
      <c r="BA215" s="2"/>
      <c r="BB215" s="2"/>
      <c r="BC215" s="2"/>
      <c r="BD215" s="2"/>
    </row>
    <row r="216" spans="54:56" ht="12.75">
      <c r="BB216" s="2"/>
      <c r="BC216" s="2"/>
      <c r="BD216" s="2"/>
    </row>
    <row r="217" spans="54:56" ht="12.75">
      <c r="BB217" s="2"/>
      <c r="BC217" s="2"/>
      <c r="BD217" s="2"/>
    </row>
    <row r="218" spans="54:56" ht="12.75">
      <c r="BB218" s="2"/>
      <c r="BC218" s="2"/>
      <c r="BD218" s="2"/>
    </row>
    <row r="219" spans="54:56" ht="12.75">
      <c r="BB219" s="2"/>
      <c r="BC219" s="2"/>
      <c r="BD219" s="2"/>
    </row>
    <row r="220" spans="54:56" ht="12.75">
      <c r="BB220" s="2"/>
      <c r="BC220" s="2"/>
      <c r="BD220" s="2"/>
    </row>
    <row r="221" spans="54:56" ht="12.75">
      <c r="BB221" s="2"/>
      <c r="BC221" s="2"/>
      <c r="BD221" s="2"/>
    </row>
    <row r="222" spans="54:56" ht="12.75">
      <c r="BB222" s="2"/>
      <c r="BC222" s="2"/>
      <c r="BD222" s="2"/>
    </row>
    <row r="223" spans="54:56" ht="12.75">
      <c r="BB223" s="2"/>
      <c r="BC223" s="2"/>
      <c r="BD223" s="2"/>
    </row>
    <row r="224" spans="54:56" ht="12.75">
      <c r="BB224" s="2"/>
      <c r="BC224" s="2"/>
      <c r="BD224" s="2"/>
    </row>
    <row r="225" spans="54:56" ht="12.75">
      <c r="BB225" s="2"/>
      <c r="BC225" s="2"/>
      <c r="BD225" s="2"/>
    </row>
    <row r="226" spans="54:56" ht="12.75">
      <c r="BB226" s="2"/>
      <c r="BC226" s="2"/>
      <c r="BD226" s="2"/>
    </row>
    <row r="227" spans="54:56" ht="12.75">
      <c r="BB227" s="2"/>
      <c r="BC227" s="2"/>
      <c r="BD227" s="2"/>
    </row>
    <row r="228" spans="54:56" ht="12.75">
      <c r="BB228" s="2"/>
      <c r="BC228" s="2"/>
      <c r="BD228" s="2"/>
    </row>
    <row r="229" spans="54:56" ht="12.75">
      <c r="BB229" s="2"/>
      <c r="BC229" s="2"/>
      <c r="BD229" s="2"/>
    </row>
    <row r="230" spans="54:56" ht="12.75">
      <c r="BB230" s="2"/>
      <c r="BC230" s="2"/>
      <c r="BD230" s="2"/>
    </row>
    <row r="231" spans="54:56" ht="12.75">
      <c r="BB231" s="2"/>
      <c r="BC231" s="2"/>
      <c r="BD231" s="2"/>
    </row>
    <row r="232" spans="54:56" ht="12.75">
      <c r="BB232" s="2"/>
      <c r="BC232" s="2"/>
      <c r="BD232" s="2"/>
    </row>
    <row r="233" spans="54:56" ht="12.75">
      <c r="BB233" s="2"/>
      <c r="BC233" s="2"/>
      <c r="BD233" s="2"/>
    </row>
    <row r="234" spans="54:56" ht="12.75">
      <c r="BB234" s="2"/>
      <c r="BC234" s="2"/>
      <c r="BD234" s="2"/>
    </row>
    <row r="235" spans="54:56" ht="12.75">
      <c r="BB235" s="2"/>
      <c r="BC235" s="2"/>
      <c r="BD235" s="2"/>
    </row>
    <row r="236" spans="54:56" ht="12.75">
      <c r="BB236" s="2"/>
      <c r="BC236" s="2"/>
      <c r="BD236" s="2"/>
    </row>
    <row r="237" spans="54:56" ht="12.75">
      <c r="BB237" s="2"/>
      <c r="BC237" s="2"/>
      <c r="BD237" s="2"/>
    </row>
    <row r="238" spans="54:56" ht="12.75">
      <c r="BB238" s="2"/>
      <c r="BC238" s="2"/>
      <c r="BD238" s="2"/>
    </row>
    <row r="239" spans="54:56" ht="12.75">
      <c r="BB239" s="2"/>
      <c r="BC239" s="2"/>
      <c r="BD239" s="2"/>
    </row>
    <row r="240" spans="54:56" ht="12.75">
      <c r="BB240" s="2"/>
      <c r="BC240" s="2"/>
      <c r="BD240" s="2"/>
    </row>
    <row r="241" spans="54:56" ht="12.75">
      <c r="BB241" s="2"/>
      <c r="BC241" s="2"/>
      <c r="BD241" s="2"/>
    </row>
    <row r="242" spans="54:56" ht="12.75">
      <c r="BB242" s="2"/>
      <c r="BC242" s="2"/>
      <c r="BD242" s="2"/>
    </row>
    <row r="243" spans="54:56" ht="12.75">
      <c r="BB243" s="2"/>
      <c r="BC243" s="2"/>
      <c r="BD243" s="2"/>
    </row>
    <row r="244" spans="54:56" ht="12.75">
      <c r="BB244" s="2"/>
      <c r="BC244" s="2"/>
      <c r="BD244" s="2"/>
    </row>
    <row r="245" spans="54:56" ht="12.75">
      <c r="BB245" s="2"/>
      <c r="BC245" s="2"/>
      <c r="BD245" s="2"/>
    </row>
    <row r="246" spans="54:56" ht="12.75">
      <c r="BB246" s="2"/>
      <c r="BC246" s="2"/>
      <c r="BD246" s="2"/>
    </row>
    <row r="247" spans="54:56" ht="12.75">
      <c r="BB247" s="2"/>
      <c r="BC247" s="2"/>
      <c r="BD247" s="2"/>
    </row>
    <row r="248" spans="54:56" ht="12.75">
      <c r="BB248" s="2"/>
      <c r="BC248" s="2"/>
      <c r="BD248" s="2"/>
    </row>
    <row r="249" spans="54:56" ht="12.75">
      <c r="BB249" s="2"/>
      <c r="BC249" s="2"/>
      <c r="BD249" s="2"/>
    </row>
    <row r="250" spans="54:56" ht="12.75">
      <c r="BB250" s="2"/>
      <c r="BC250" s="2"/>
      <c r="BD250" s="2"/>
    </row>
    <row r="251" spans="54:56" ht="12.75">
      <c r="BB251" s="2"/>
      <c r="BC251" s="2"/>
      <c r="BD251" s="2"/>
    </row>
    <row r="252" spans="54:56" ht="12.75">
      <c r="BB252" s="2"/>
      <c r="BC252" s="2"/>
      <c r="BD252" s="2"/>
    </row>
    <row r="253" spans="54:56" ht="12.75">
      <c r="BB253" s="2"/>
      <c r="BC253" s="2"/>
      <c r="BD253" s="2"/>
    </row>
    <row r="254" spans="54:56" ht="12.75">
      <c r="BB254" s="2"/>
      <c r="BC254" s="2"/>
      <c r="BD254" s="2"/>
    </row>
    <row r="255" spans="54:56" ht="12.75">
      <c r="BB255" s="2"/>
      <c r="BC255" s="2"/>
      <c r="BD255" s="2"/>
    </row>
    <row r="256" spans="54:56" ht="12.75">
      <c r="BB256" s="2"/>
      <c r="BC256" s="2"/>
      <c r="BD256" s="2"/>
    </row>
    <row r="257" spans="54:56" ht="12.75">
      <c r="BB257" s="2"/>
      <c r="BC257" s="2"/>
      <c r="BD257" s="2"/>
    </row>
    <row r="258" spans="54:56" ht="12.75">
      <c r="BB258" s="2"/>
      <c r="BC258" s="2"/>
      <c r="BD258" s="2"/>
    </row>
    <row r="259" spans="54:56" ht="12.75">
      <c r="BB259" s="2"/>
      <c r="BC259" s="2"/>
      <c r="BD259" s="2"/>
    </row>
    <row r="260" spans="54:56" ht="12.75">
      <c r="BB260" s="2"/>
      <c r="BC260" s="2"/>
      <c r="BD260" s="2"/>
    </row>
    <row r="261" spans="54:56" ht="12.75">
      <c r="BB261" s="2"/>
      <c r="BC261" s="2"/>
      <c r="BD261" s="2"/>
    </row>
    <row r="262" spans="54:56" ht="12.75">
      <c r="BB262" s="2"/>
      <c r="BC262" s="2"/>
      <c r="BD262" s="2"/>
    </row>
    <row r="263" spans="54:56" ht="12.75">
      <c r="BB263" s="2"/>
      <c r="BC263" s="2"/>
      <c r="BD263" s="2"/>
    </row>
    <row r="264" spans="54:56" ht="12.75">
      <c r="BB264" s="2"/>
      <c r="BC264" s="2"/>
      <c r="BD264" s="2"/>
    </row>
    <row r="265" spans="54:56" ht="12.75">
      <c r="BB265" s="2"/>
      <c r="BC265" s="2"/>
      <c r="BD265" s="2"/>
    </row>
    <row r="266" spans="54:56" ht="12.75">
      <c r="BB266" s="2"/>
      <c r="BC266" s="2"/>
      <c r="BD266" s="2"/>
    </row>
    <row r="267" spans="54:56" ht="12.75">
      <c r="BB267" s="2"/>
      <c r="BC267" s="2"/>
      <c r="BD267" s="2"/>
    </row>
    <row r="268" spans="54:56" ht="12.75">
      <c r="BB268" s="2"/>
      <c r="BC268" s="2"/>
      <c r="BD268" s="2"/>
    </row>
    <row r="269" spans="54:56" ht="12.75">
      <c r="BB269" s="2"/>
      <c r="BC269" s="2"/>
      <c r="BD269" s="2"/>
    </row>
    <row r="270" spans="54:56" ht="12.75">
      <c r="BB270" s="2"/>
      <c r="BC270" s="2"/>
      <c r="BD270" s="2"/>
    </row>
    <row r="271" spans="54:56" ht="12.75">
      <c r="BB271" s="2"/>
      <c r="BC271" s="2"/>
      <c r="BD271" s="2"/>
    </row>
    <row r="272" spans="54:56" ht="12.75">
      <c r="BB272" s="2"/>
      <c r="BC272" s="2"/>
      <c r="BD272" s="2"/>
    </row>
    <row r="273" spans="54:56" ht="12.75">
      <c r="BB273" s="2"/>
      <c r="BC273" s="2"/>
      <c r="BD273" s="2"/>
    </row>
    <row r="274" spans="54:56" ht="12.75">
      <c r="BB274" s="2"/>
      <c r="BC274" s="2"/>
      <c r="BD274" s="2"/>
    </row>
    <row r="275" spans="54:56" ht="12.75">
      <c r="BB275" s="2"/>
      <c r="BC275" s="2"/>
      <c r="BD275" s="2"/>
    </row>
    <row r="276" spans="54:56" ht="12.75">
      <c r="BB276" s="2"/>
      <c r="BC276" s="2"/>
      <c r="BD276" s="2"/>
    </row>
    <row r="277" spans="54:56" ht="12.75">
      <c r="BB277" s="2"/>
      <c r="BC277" s="2"/>
      <c r="BD277" s="2"/>
    </row>
    <row r="278" spans="54:56" ht="12.75">
      <c r="BB278" s="2"/>
      <c r="BC278" s="2"/>
      <c r="BD278" s="2"/>
    </row>
    <row r="279" spans="54:56" ht="12.75">
      <c r="BB279" s="2"/>
      <c r="BC279" s="2"/>
      <c r="BD279" s="2"/>
    </row>
    <row r="280" spans="54:56" ht="12.75">
      <c r="BB280" s="2"/>
      <c r="BC280" s="2"/>
      <c r="BD280" s="2"/>
    </row>
    <row r="281" spans="54:56" ht="12.75">
      <c r="BB281" s="2"/>
      <c r="BC281" s="2"/>
      <c r="BD281" s="2"/>
    </row>
    <row r="282" spans="54:56" ht="12.75">
      <c r="BB282" s="2"/>
      <c r="BC282" s="2"/>
      <c r="BD282" s="2"/>
    </row>
    <row r="283" spans="54:56" ht="12.75">
      <c r="BB283" s="2"/>
      <c r="BC283" s="2"/>
      <c r="BD283" s="2"/>
    </row>
    <row r="284" spans="54:56" ht="12.75">
      <c r="BB284" s="2"/>
      <c r="BC284" s="2"/>
      <c r="BD284" s="2"/>
    </row>
    <row r="285" spans="54:56" ht="12.75">
      <c r="BB285" s="2"/>
      <c r="BC285" s="2"/>
      <c r="BD285" s="2"/>
    </row>
    <row r="286" spans="54:56" ht="12.75">
      <c r="BB286" s="2"/>
      <c r="BC286" s="2"/>
      <c r="BD286" s="2"/>
    </row>
    <row r="287" spans="54:56" ht="12.75">
      <c r="BB287" s="2"/>
      <c r="BC287" s="2"/>
      <c r="BD287" s="2"/>
    </row>
    <row r="288" spans="54:56" ht="12.75">
      <c r="BB288" s="2"/>
      <c r="BC288" s="2"/>
      <c r="BD288" s="2"/>
    </row>
    <row r="289" spans="54:56" ht="12.75">
      <c r="BB289" s="2"/>
      <c r="BC289" s="2"/>
      <c r="BD289" s="2"/>
    </row>
    <row r="290" spans="54:56" ht="12.75">
      <c r="BB290" s="2"/>
      <c r="BC290" s="2"/>
      <c r="BD290" s="2"/>
    </row>
    <row r="291" spans="54:56" ht="12.75">
      <c r="BB291" s="2"/>
      <c r="BC291" s="2"/>
      <c r="BD291" s="2"/>
    </row>
    <row r="292" spans="54:56" ht="12.75">
      <c r="BB292" s="2"/>
      <c r="BC292" s="2"/>
      <c r="BD292" s="2"/>
    </row>
    <row r="293" spans="54:56" ht="12.75">
      <c r="BB293" s="2"/>
      <c r="BC293" s="2"/>
      <c r="BD293" s="2"/>
    </row>
    <row r="294" spans="54:56" ht="12.75">
      <c r="BB294" s="2"/>
      <c r="BC294" s="2"/>
      <c r="BD294" s="2"/>
    </row>
    <row r="295" spans="54:56" ht="12.75">
      <c r="BB295" s="2"/>
      <c r="BC295" s="2"/>
      <c r="BD295" s="2"/>
    </row>
    <row r="296" spans="54:56" ht="12.75">
      <c r="BB296" s="2"/>
      <c r="BC296" s="2"/>
      <c r="BD296" s="2"/>
    </row>
    <row r="297" spans="54:56" ht="12.75">
      <c r="BB297" s="2"/>
      <c r="BC297" s="2"/>
      <c r="BD297" s="2"/>
    </row>
    <row r="298" spans="54:56" ht="12.75">
      <c r="BB298" s="2"/>
      <c r="BC298" s="2"/>
      <c r="BD298" s="2"/>
    </row>
    <row r="299" spans="54:56" ht="12.75">
      <c r="BB299" s="2"/>
      <c r="BC299" s="2"/>
      <c r="BD299" s="2"/>
    </row>
    <row r="300" spans="54:56" ht="12.75">
      <c r="BB300" s="2"/>
      <c r="BC300" s="2"/>
      <c r="BD300" s="2"/>
    </row>
    <row r="301" spans="54:56" ht="12.75">
      <c r="BB301" s="2"/>
      <c r="BC301" s="2"/>
      <c r="BD301" s="2"/>
    </row>
    <row r="302" spans="54:56" ht="12.75">
      <c r="BB302" s="2"/>
      <c r="BC302" s="2"/>
      <c r="BD302" s="2"/>
    </row>
    <row r="303" spans="54:56" ht="12.75">
      <c r="BB303" s="2"/>
      <c r="BC303" s="2"/>
      <c r="BD303" s="2"/>
    </row>
  </sheetData>
  <sheetProtection/>
  <conditionalFormatting sqref="A1:BD1 ED1:IV1">
    <cfRule type="cellIs" priority="1" dxfId="2" operator="notEqual" stopIfTrue="1">
      <formula>0</formula>
    </cfRule>
  </conditionalFormatting>
  <printOptions horizontalCentered="1"/>
  <pageMargins left="0.7" right="0.7" top="0.75" bottom="0.75" header="0.3" footer="0.3"/>
  <pageSetup fitToHeight="2" horizontalDpi="600" verticalDpi="600" orientation="portrait" scale="69" r:id="rId1"/>
  <rowBreaks count="1" manualBreakCount="1">
    <brk id="69" min="51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zoomScalePageLayoutView="0" workbookViewId="0" topLeftCell="A1">
      <pane xSplit="3" ySplit="12" topLeftCell="D13" activePane="bottomRight" state="frozen"/>
      <selection pane="topLeft" activeCell="C2" sqref="C2:I63"/>
      <selection pane="topRight" activeCell="C2" sqref="C2:I63"/>
      <selection pane="bottomLeft" activeCell="C2" sqref="C2:I63"/>
      <selection pane="bottomRight" activeCell="E9" sqref="E9"/>
    </sheetView>
  </sheetViews>
  <sheetFormatPr defaultColWidth="9.140625" defaultRowHeight="15"/>
  <cols>
    <col min="1" max="1" width="4.421875" style="277" bestFit="1" customWidth="1"/>
    <col min="2" max="2" width="10.140625" style="277" customWidth="1"/>
    <col min="3" max="3" width="34.140625" style="277" customWidth="1"/>
    <col min="4" max="5" width="17.00390625" style="277" customWidth="1"/>
    <col min="6" max="6" width="14.28125" style="277" customWidth="1"/>
    <col min="7" max="7" width="15.57421875" style="277" bestFit="1" customWidth="1"/>
    <col min="8" max="8" width="15.421875" style="277" customWidth="1"/>
    <col min="9" max="9" width="14.00390625" style="277" customWidth="1"/>
    <col min="10" max="10" width="13.28125" style="277" customWidth="1"/>
    <col min="11" max="11" width="13.00390625" style="277" customWidth="1"/>
    <col min="12" max="12" width="17.28125" style="277" bestFit="1" customWidth="1"/>
    <col min="13" max="13" width="4.28125" style="277" customWidth="1"/>
    <col min="14" max="14" width="17.7109375" style="277" bestFit="1" customWidth="1"/>
    <col min="15" max="15" width="15.140625" style="326" bestFit="1" customWidth="1"/>
    <col min="16" max="16" width="18.28125" style="326" customWidth="1"/>
    <col min="17" max="17" width="16.7109375" style="326" bestFit="1" customWidth="1"/>
    <col min="18" max="18" width="15.140625" style="326" bestFit="1" customWidth="1"/>
    <col min="19" max="19" width="9.140625" style="326" customWidth="1"/>
    <col min="20" max="20" width="11.8515625" style="326" bestFit="1" customWidth="1"/>
    <col min="21" max="21" width="11.421875" style="277" bestFit="1" customWidth="1"/>
    <col min="22" max="16384" width="9.140625" style="277" customWidth="1"/>
  </cols>
  <sheetData>
    <row r="1" spans="1:14" ht="12.75">
      <c r="A1" s="282"/>
      <c r="N1" s="273"/>
    </row>
    <row r="2" spans="1:14" ht="12.75">
      <c r="A2" s="361"/>
      <c r="N2" s="273"/>
    </row>
    <row r="3" spans="1:14" ht="12.75">
      <c r="A3" s="359" t="s">
        <v>318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60"/>
    </row>
    <row r="4" spans="1:14" ht="12.75">
      <c r="A4" s="359" t="s">
        <v>315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89"/>
    </row>
    <row r="5" spans="1:13" ht="12.75">
      <c r="A5" s="359" t="s">
        <v>314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ht="12.75">
      <c r="A6" s="359" t="s">
        <v>313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</row>
    <row r="7" spans="1:18" ht="12.75">
      <c r="A7" s="359" t="s">
        <v>312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P7" s="329"/>
      <c r="Q7" s="329"/>
      <c r="R7" s="329"/>
    </row>
    <row r="8" spans="1:13" ht="12.75">
      <c r="A8" s="359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</row>
    <row r="9" spans="4:14" ht="25.5" customHeight="1">
      <c r="D9" s="353" t="s">
        <v>311</v>
      </c>
      <c r="E9" s="353" t="s">
        <v>310</v>
      </c>
      <c r="F9" s="358" t="s">
        <v>309</v>
      </c>
      <c r="G9" s="357"/>
      <c r="H9" s="357"/>
      <c r="I9" s="356"/>
      <c r="J9" s="355" t="s">
        <v>308</v>
      </c>
      <c r="K9" s="354"/>
      <c r="L9" s="353" t="s">
        <v>307</v>
      </c>
      <c r="N9" s="353" t="s">
        <v>306</v>
      </c>
    </row>
    <row r="10" spans="4:16" ht="12.75">
      <c r="D10" s="289" t="s">
        <v>305</v>
      </c>
      <c r="E10" s="352" t="s">
        <v>304</v>
      </c>
      <c r="F10" s="351" t="s">
        <v>303</v>
      </c>
      <c r="G10" s="351" t="s">
        <v>302</v>
      </c>
      <c r="H10" s="351" t="s">
        <v>301</v>
      </c>
      <c r="I10" s="351" t="s">
        <v>300</v>
      </c>
      <c r="J10" s="289"/>
      <c r="K10" s="351"/>
      <c r="N10" s="289" t="s">
        <v>299</v>
      </c>
      <c r="P10" s="329"/>
    </row>
    <row r="11" spans="4:16" ht="12.75">
      <c r="D11" s="289" t="s">
        <v>298</v>
      </c>
      <c r="E11" s="350" t="s">
        <v>297</v>
      </c>
      <c r="F11" s="343" t="s">
        <v>296</v>
      </c>
      <c r="G11" s="343" t="s">
        <v>295</v>
      </c>
      <c r="H11" s="343" t="s">
        <v>294</v>
      </c>
      <c r="I11" s="343" t="s">
        <v>293</v>
      </c>
      <c r="J11" s="289" t="s">
        <v>292</v>
      </c>
      <c r="K11" s="343" t="s">
        <v>291</v>
      </c>
      <c r="L11" s="289" t="s">
        <v>290</v>
      </c>
      <c r="M11" s="289"/>
      <c r="N11" s="289" t="s">
        <v>289</v>
      </c>
      <c r="P11" s="329"/>
    </row>
    <row r="12" spans="1:16" ht="12.75">
      <c r="A12" s="345" t="s">
        <v>288</v>
      </c>
      <c r="B12" s="349" t="s">
        <v>287</v>
      </c>
      <c r="C12" s="349" t="s">
        <v>286</v>
      </c>
      <c r="D12" s="348">
        <v>41394</v>
      </c>
      <c r="E12" s="347" t="s">
        <v>285</v>
      </c>
      <c r="F12" s="346" t="s">
        <v>284</v>
      </c>
      <c r="G12" s="346" t="s">
        <v>283</v>
      </c>
      <c r="H12" s="346" t="s">
        <v>282</v>
      </c>
      <c r="I12" s="346" t="s">
        <v>281</v>
      </c>
      <c r="J12" s="345" t="s">
        <v>280</v>
      </c>
      <c r="K12" s="346" t="s">
        <v>260</v>
      </c>
      <c r="L12" s="345" t="s">
        <v>279</v>
      </c>
      <c r="M12" s="329"/>
      <c r="N12" s="344">
        <v>0.97901</v>
      </c>
      <c r="P12" s="376"/>
    </row>
    <row r="13" spans="1:14" ht="12.75">
      <c r="A13" s="289"/>
      <c r="B13" s="289" t="s">
        <v>278</v>
      </c>
      <c r="C13" s="289" t="s">
        <v>277</v>
      </c>
      <c r="D13" s="289" t="s">
        <v>276</v>
      </c>
      <c r="E13" s="289" t="s">
        <v>275</v>
      </c>
      <c r="F13" s="343" t="s">
        <v>274</v>
      </c>
      <c r="G13" s="343" t="s">
        <v>273</v>
      </c>
      <c r="H13" s="343" t="s">
        <v>272</v>
      </c>
      <c r="I13" s="343" t="s">
        <v>271</v>
      </c>
      <c r="J13" s="289" t="s">
        <v>270</v>
      </c>
      <c r="K13" s="343" t="s">
        <v>269</v>
      </c>
      <c r="L13" s="289" t="s">
        <v>268</v>
      </c>
      <c r="M13" s="329"/>
      <c r="N13" s="342" t="s">
        <v>267</v>
      </c>
    </row>
    <row r="14" spans="1:14" ht="12.75">
      <c r="A14" s="289">
        <v>1</v>
      </c>
      <c r="B14" s="277" t="s">
        <v>266</v>
      </c>
      <c r="D14" s="287"/>
      <c r="E14" s="287"/>
      <c r="F14" s="322"/>
      <c r="G14" s="322"/>
      <c r="H14" s="322"/>
      <c r="I14" s="322"/>
      <c r="J14" s="287"/>
      <c r="K14" s="322"/>
      <c r="L14" s="287"/>
      <c r="M14" s="326"/>
      <c r="N14" s="341"/>
    </row>
    <row r="15" spans="1:16" ht="12.75">
      <c r="A15" s="289">
        <f aca="true" t="shared" si="0" ref="A15:A38">A14+1</f>
        <v>2</v>
      </c>
      <c r="B15" s="289">
        <v>501</v>
      </c>
      <c r="C15" s="281" t="s">
        <v>265</v>
      </c>
      <c r="D15" s="339">
        <v>91270490.94038835</v>
      </c>
      <c r="E15" s="339"/>
      <c r="F15" s="339"/>
      <c r="G15" s="339"/>
      <c r="H15" s="339"/>
      <c r="I15" s="320">
        <v>-555555.5555555556</v>
      </c>
      <c r="J15" s="340">
        <v>0</v>
      </c>
      <c r="K15" s="339"/>
      <c r="L15" s="338">
        <f>SUM(D15:K15)</f>
        <v>90714935.3848328</v>
      </c>
      <c r="M15" s="315"/>
      <c r="N15" s="338">
        <f>L15*$N$12</f>
        <v>88810828.89110516</v>
      </c>
      <c r="O15" s="377"/>
      <c r="P15" s="315"/>
    </row>
    <row r="16" spans="1:16" ht="12.75">
      <c r="A16" s="289">
        <f t="shared" si="0"/>
        <v>3</v>
      </c>
      <c r="B16" s="289">
        <v>547</v>
      </c>
      <c r="C16" s="281" t="s">
        <v>264</v>
      </c>
      <c r="D16" s="320">
        <v>158438970.7598643</v>
      </c>
      <c r="E16" s="320">
        <f>-E27</f>
        <v>1130625</v>
      </c>
      <c r="F16" s="320"/>
      <c r="G16" s="320"/>
      <c r="H16" s="320"/>
      <c r="I16" s="320">
        <v>929795.8802588996</v>
      </c>
      <c r="J16" s="291">
        <v>0</v>
      </c>
      <c r="K16" s="320"/>
      <c r="L16" s="291">
        <f>SUM(D16:K16)</f>
        <v>160499391.6401232</v>
      </c>
      <c r="M16" s="301"/>
      <c r="N16" s="291">
        <f>L16*$N$12</f>
        <v>157130509.409597</v>
      </c>
      <c r="O16" s="332"/>
      <c r="P16" s="296"/>
    </row>
    <row r="17" spans="1:18" ht="12.75">
      <c r="A17" s="289">
        <f t="shared" si="0"/>
        <v>4</v>
      </c>
      <c r="C17" s="281"/>
      <c r="D17" s="333">
        <f>SUM(D15:D16)</f>
        <v>249709461.70025265</v>
      </c>
      <c r="E17" s="333">
        <f>SUM(E15:E16)</f>
        <v>1130625</v>
      </c>
      <c r="F17" s="333">
        <f>SUM(F15:F16)</f>
        <v>0</v>
      </c>
      <c r="G17" s="333"/>
      <c r="H17" s="333"/>
      <c r="I17" s="333">
        <f>SUM(I15:I16)</f>
        <v>374240.324703344</v>
      </c>
      <c r="J17" s="334">
        <f>SUM(J15:J16)</f>
        <v>0</v>
      </c>
      <c r="K17" s="334">
        <f>SUM(K15:K16)</f>
        <v>0</v>
      </c>
      <c r="L17" s="334">
        <f>SUM(L15:L16)</f>
        <v>251214327.024956</v>
      </c>
      <c r="M17" s="301"/>
      <c r="N17" s="333">
        <f>SUM(N15:N16)</f>
        <v>245941338.30070215</v>
      </c>
      <c r="O17" s="377"/>
      <c r="P17" s="327"/>
      <c r="Q17" s="296"/>
      <c r="R17" s="296"/>
    </row>
    <row r="18" spans="1:18" ht="12.75">
      <c r="A18" s="289">
        <f t="shared" si="0"/>
        <v>5</v>
      </c>
      <c r="B18" s="277" t="s">
        <v>263</v>
      </c>
      <c r="D18" s="333"/>
      <c r="E18" s="333"/>
      <c r="F18" s="333"/>
      <c r="G18" s="333"/>
      <c r="H18" s="333"/>
      <c r="I18" s="333"/>
      <c r="J18" s="334"/>
      <c r="K18" s="333"/>
      <c r="L18" s="334"/>
      <c r="M18" s="301"/>
      <c r="N18" s="333"/>
      <c r="O18" s="377"/>
      <c r="P18" s="327"/>
      <c r="R18" s="296"/>
    </row>
    <row r="19" spans="1:18" ht="12.75">
      <c r="A19" s="289">
        <f t="shared" si="0"/>
        <v>6</v>
      </c>
      <c r="B19" s="289">
        <v>555</v>
      </c>
      <c r="C19" s="281" t="s">
        <v>262</v>
      </c>
      <c r="D19" s="320">
        <v>501387966.1508451</v>
      </c>
      <c r="E19" s="320"/>
      <c r="F19" s="320">
        <v>-776099</v>
      </c>
      <c r="G19" s="320"/>
      <c r="H19" s="320">
        <v>-7088065.589499994</v>
      </c>
      <c r="I19" s="321">
        <v>-3526620</v>
      </c>
      <c r="J19" s="291">
        <v>0</v>
      </c>
      <c r="K19" s="321"/>
      <c r="L19" s="291">
        <f>SUM(D19:K19)</f>
        <v>489997181.5613451</v>
      </c>
      <c r="M19" s="301"/>
      <c r="N19" s="320">
        <f>L19*$N$12</f>
        <v>479712140.7203725</v>
      </c>
      <c r="O19" s="377"/>
      <c r="P19" s="296"/>
      <c r="R19" s="296"/>
    </row>
    <row r="20" spans="1:20" s="335" customFormat="1" ht="12.75">
      <c r="A20" s="289">
        <f t="shared" si="0"/>
        <v>7</v>
      </c>
      <c r="B20" s="337"/>
      <c r="C20" s="336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32"/>
      <c r="P20" s="296"/>
      <c r="Q20" s="378"/>
      <c r="R20" s="327"/>
      <c r="S20" s="378"/>
      <c r="T20" s="327"/>
    </row>
    <row r="21" spans="1:20" ht="12.75">
      <c r="A21" s="289">
        <f t="shared" si="0"/>
        <v>8</v>
      </c>
      <c r="B21" s="289">
        <v>557</v>
      </c>
      <c r="C21" s="281" t="s">
        <v>261</v>
      </c>
      <c r="D21" s="320">
        <v>9494200.93</v>
      </c>
      <c r="E21" s="320"/>
      <c r="F21" s="320"/>
      <c r="G21" s="320"/>
      <c r="H21" s="320"/>
      <c r="I21" s="320"/>
      <c r="J21" s="320">
        <v>-1369203.65</v>
      </c>
      <c r="K21" s="320"/>
      <c r="L21" s="291">
        <f>SUM(D21:K21)</f>
        <v>8124997.279999999</v>
      </c>
      <c r="M21" s="301"/>
      <c r="N21" s="320">
        <f>L21*$N$12</f>
        <v>7954453.5870928</v>
      </c>
      <c r="O21" s="377"/>
      <c r="P21" s="296"/>
      <c r="R21" s="296"/>
      <c r="T21" s="327"/>
    </row>
    <row r="22" spans="1:18" ht="12.75">
      <c r="A22" s="289">
        <f t="shared" si="0"/>
        <v>9</v>
      </c>
      <c r="B22" s="289"/>
      <c r="C22" s="281" t="s">
        <v>260</v>
      </c>
      <c r="D22" s="320">
        <v>0</v>
      </c>
      <c r="E22" s="320"/>
      <c r="F22" s="320"/>
      <c r="G22" s="320"/>
      <c r="H22" s="320"/>
      <c r="I22" s="320"/>
      <c r="J22" s="320"/>
      <c r="K22" s="320">
        <v>1451371.7</v>
      </c>
      <c r="L22" s="291">
        <f>SUM(D22:K22)</f>
        <v>1451371.7</v>
      </c>
      <c r="M22" s="301"/>
      <c r="N22" s="320">
        <f>L22*$N$12</f>
        <v>1420907.408017</v>
      </c>
      <c r="O22" s="377"/>
      <c r="P22" s="296"/>
      <c r="R22" s="296"/>
    </row>
    <row r="23" spans="1:21" ht="12.75">
      <c r="A23" s="289">
        <f t="shared" si="0"/>
        <v>10</v>
      </c>
      <c r="C23" s="290"/>
      <c r="D23" s="333">
        <f aca="true" t="shared" si="1" ref="D23:L23">SUM(D19:D22)</f>
        <v>510882167.0808451</v>
      </c>
      <c r="E23" s="333">
        <f t="shared" si="1"/>
        <v>0</v>
      </c>
      <c r="F23" s="333">
        <f t="shared" si="1"/>
        <v>-776099</v>
      </c>
      <c r="G23" s="333">
        <f t="shared" si="1"/>
        <v>0</v>
      </c>
      <c r="H23" s="334">
        <f t="shared" si="1"/>
        <v>-7088065.589499994</v>
      </c>
      <c r="I23" s="334">
        <f t="shared" si="1"/>
        <v>-3526620</v>
      </c>
      <c r="J23" s="333">
        <f t="shared" si="1"/>
        <v>-1369203.65</v>
      </c>
      <c r="K23" s="334">
        <f t="shared" si="1"/>
        <v>1451371.7</v>
      </c>
      <c r="L23" s="334">
        <f t="shared" si="1"/>
        <v>499573550.54134506</v>
      </c>
      <c r="M23" s="301"/>
      <c r="N23" s="334">
        <f>SUM(N19:N22)</f>
        <v>489087501.7154823</v>
      </c>
      <c r="O23" s="377"/>
      <c r="P23" s="296"/>
      <c r="Q23" s="296"/>
      <c r="R23" s="296"/>
      <c r="T23" s="379"/>
      <c r="U23" s="280"/>
    </row>
    <row r="24" spans="1:18" ht="12.75">
      <c r="A24" s="289">
        <f t="shared" si="0"/>
        <v>11</v>
      </c>
      <c r="C24" s="290"/>
      <c r="D24" s="333"/>
      <c r="E24" s="333"/>
      <c r="F24" s="333"/>
      <c r="G24" s="333"/>
      <c r="H24" s="333"/>
      <c r="I24" s="333"/>
      <c r="J24" s="333"/>
      <c r="K24" s="333"/>
      <c r="L24" s="334"/>
      <c r="M24" s="301"/>
      <c r="N24" s="333"/>
      <c r="O24" s="377"/>
      <c r="P24" s="327"/>
      <c r="R24" s="296"/>
    </row>
    <row r="25" spans="1:18" ht="12.75">
      <c r="A25" s="289">
        <f t="shared" si="0"/>
        <v>12</v>
      </c>
      <c r="B25" s="289">
        <v>565</v>
      </c>
      <c r="C25" s="277" t="s">
        <v>259</v>
      </c>
      <c r="D25" s="321">
        <v>99783822.42203961</v>
      </c>
      <c r="E25" s="321"/>
      <c r="F25" s="321">
        <v>-9922939</v>
      </c>
      <c r="G25" s="321">
        <v>0</v>
      </c>
      <c r="H25" s="321"/>
      <c r="I25" s="321">
        <v>0</v>
      </c>
      <c r="J25" s="320">
        <v>0</v>
      </c>
      <c r="K25" s="321"/>
      <c r="L25" s="320">
        <f>SUM(D25:K25)</f>
        <v>89860883.42203961</v>
      </c>
      <c r="M25" s="321"/>
      <c r="N25" s="320">
        <f>L25*$N$12</f>
        <v>87974703.479011</v>
      </c>
      <c r="O25" s="332"/>
      <c r="P25" s="296"/>
      <c r="Q25" s="296"/>
      <c r="R25" s="296"/>
    </row>
    <row r="26" spans="1:18" ht="12.75">
      <c r="A26" s="289">
        <f t="shared" si="0"/>
        <v>13</v>
      </c>
      <c r="D26" s="320"/>
      <c r="E26" s="320"/>
      <c r="F26" s="320"/>
      <c r="G26" s="320"/>
      <c r="H26" s="320"/>
      <c r="I26" s="320"/>
      <c r="J26" s="320"/>
      <c r="K26" s="320"/>
      <c r="L26" s="291">
        <f>SUM(D26:K26)</f>
        <v>0</v>
      </c>
      <c r="M26" s="301"/>
      <c r="N26" s="320"/>
      <c r="P26" s="327"/>
      <c r="R26" s="296"/>
    </row>
    <row r="27" spans="1:18" s="326" customFormat="1" ht="12.75">
      <c r="A27" s="329">
        <f t="shared" si="0"/>
        <v>14</v>
      </c>
      <c r="B27" s="329" t="s">
        <v>255</v>
      </c>
      <c r="C27" s="326" t="s">
        <v>258</v>
      </c>
      <c r="D27" s="321">
        <v>137606375.51264036</v>
      </c>
      <c r="E27" s="321">
        <v>-1130625</v>
      </c>
      <c r="F27" s="321">
        <v>-10891023</v>
      </c>
      <c r="G27" s="321"/>
      <c r="H27" s="321"/>
      <c r="I27" s="321">
        <v>-1215107.3786816266</v>
      </c>
      <c r="J27" s="321">
        <v>-6849513.489999999</v>
      </c>
      <c r="K27" s="321"/>
      <c r="L27" s="291">
        <f>SUM(D27:K27)</f>
        <v>117520106.64395873</v>
      </c>
      <c r="M27" s="301"/>
      <c r="N27" s="320">
        <f>L27*$N$12</f>
        <v>115053359.60550204</v>
      </c>
      <c r="O27" s="331"/>
      <c r="P27" s="296"/>
      <c r="Q27" s="330"/>
      <c r="R27" s="296"/>
    </row>
    <row r="28" spans="1:16" s="326" customFormat="1" ht="12.75">
      <c r="A28" s="329">
        <f t="shared" si="0"/>
        <v>15</v>
      </c>
      <c r="B28" s="329"/>
      <c r="D28" s="321"/>
      <c r="E28" s="321"/>
      <c r="F28" s="321"/>
      <c r="G28" s="321"/>
      <c r="H28" s="321"/>
      <c r="I28" s="321"/>
      <c r="J28" s="321"/>
      <c r="K28" s="321"/>
      <c r="L28" s="301"/>
      <c r="M28" s="301"/>
      <c r="N28" s="321"/>
      <c r="O28" s="328"/>
      <c r="P28" s="327"/>
    </row>
    <row r="29" spans="1:16" ht="12.75">
      <c r="A29" s="289">
        <f t="shared" si="0"/>
        <v>16</v>
      </c>
      <c r="B29" s="289" t="s">
        <v>255</v>
      </c>
      <c r="C29" s="277" t="s">
        <v>252</v>
      </c>
      <c r="D29" s="320">
        <v>1698447.94</v>
      </c>
      <c r="E29" s="320"/>
      <c r="F29" s="320"/>
      <c r="G29" s="320"/>
      <c r="H29" s="320"/>
      <c r="I29" s="320"/>
      <c r="J29" s="320"/>
      <c r="K29" s="320"/>
      <c r="L29" s="291">
        <f>SUM(D29:K29)</f>
        <v>1698447.94</v>
      </c>
      <c r="M29" s="301"/>
      <c r="N29" s="320">
        <f>L29*$N$12</f>
        <v>1662797.5177394</v>
      </c>
      <c r="P29" s="296"/>
    </row>
    <row r="30" spans="1:18" ht="12.75">
      <c r="A30" s="289">
        <f t="shared" si="0"/>
        <v>17</v>
      </c>
      <c r="B30" s="289">
        <v>447</v>
      </c>
      <c r="C30" s="277" t="s">
        <v>257</v>
      </c>
      <c r="D30" s="320">
        <v>-7226498.4428731445</v>
      </c>
      <c r="E30" s="320"/>
      <c r="F30" s="320"/>
      <c r="G30" s="320"/>
      <c r="H30" s="291"/>
      <c r="I30" s="291"/>
      <c r="J30" s="320"/>
      <c r="K30" s="291"/>
      <c r="L30" s="291">
        <f>SUM(D30:K30)</f>
        <v>-7226498.4428731445</v>
      </c>
      <c r="M30" s="301"/>
      <c r="N30" s="320">
        <f>L30*$N$12</f>
        <v>-7074814.2405572375</v>
      </c>
      <c r="P30" s="296"/>
      <c r="Q30" s="296"/>
      <c r="R30" s="380"/>
    </row>
    <row r="31" spans="1:16" ht="12.75">
      <c r="A31" s="289">
        <f t="shared" si="0"/>
        <v>18</v>
      </c>
      <c r="B31" s="289">
        <v>456</v>
      </c>
      <c r="C31" s="277" t="s">
        <v>251</v>
      </c>
      <c r="D31" s="320">
        <v>0</v>
      </c>
      <c r="E31" s="320"/>
      <c r="F31" s="320"/>
      <c r="G31" s="320"/>
      <c r="H31" s="291"/>
      <c r="I31" s="291"/>
      <c r="J31" s="320"/>
      <c r="K31" s="291"/>
      <c r="L31" s="291">
        <f>SUM(D31:K31)</f>
        <v>0</v>
      </c>
      <c r="M31" s="301"/>
      <c r="N31" s="320">
        <f>L31*$N$12</f>
        <v>0</v>
      </c>
      <c r="P31" s="296"/>
    </row>
    <row r="32" spans="1:16" ht="12.75">
      <c r="A32" s="289">
        <f t="shared" si="0"/>
        <v>19</v>
      </c>
      <c r="D32" s="323">
        <f aca="true" t="shared" si="2" ref="D32:L32">SUM(D29:D31)</f>
        <v>-5528050.502873145</v>
      </c>
      <c r="E32" s="323">
        <f t="shared" si="2"/>
        <v>0</v>
      </c>
      <c r="F32" s="323">
        <f t="shared" si="2"/>
        <v>0</v>
      </c>
      <c r="G32" s="323">
        <f t="shared" si="2"/>
        <v>0</v>
      </c>
      <c r="H32" s="325">
        <f t="shared" si="2"/>
        <v>0</v>
      </c>
      <c r="I32" s="325">
        <f t="shared" si="2"/>
        <v>0</v>
      </c>
      <c r="J32" s="323">
        <f t="shared" si="2"/>
        <v>0</v>
      </c>
      <c r="K32" s="325">
        <f t="shared" si="2"/>
        <v>0</v>
      </c>
      <c r="L32" s="325">
        <f t="shared" si="2"/>
        <v>-5528050.502873145</v>
      </c>
      <c r="M32" s="324"/>
      <c r="N32" s="323">
        <f>SUM(N29:N31)</f>
        <v>-5412016.722817837</v>
      </c>
      <c r="P32" s="296"/>
    </row>
    <row r="33" spans="1:16" ht="12.75">
      <c r="A33" s="289">
        <f t="shared" si="0"/>
        <v>20</v>
      </c>
      <c r="D33" s="322"/>
      <c r="E33" s="322"/>
      <c r="F33" s="322"/>
      <c r="G33" s="322"/>
      <c r="H33" s="287"/>
      <c r="I33" s="287"/>
      <c r="J33" s="322"/>
      <c r="K33" s="287"/>
      <c r="L33" s="287"/>
      <c r="M33" s="286"/>
      <c r="N33" s="322"/>
      <c r="P33" s="327"/>
    </row>
    <row r="34" spans="1:16" ht="12.75">
      <c r="A34" s="289">
        <f t="shared" si="0"/>
        <v>21</v>
      </c>
      <c r="B34" s="277" t="s">
        <v>256</v>
      </c>
      <c r="D34" s="321">
        <f aca="true" t="shared" si="3" ref="D34:L34">D17+D23+D25+D27+D32</f>
        <v>992453776.2129046</v>
      </c>
      <c r="E34" s="321">
        <f t="shared" si="3"/>
        <v>0</v>
      </c>
      <c r="F34" s="321">
        <f t="shared" si="3"/>
        <v>-21590061</v>
      </c>
      <c r="G34" s="321">
        <f t="shared" si="3"/>
        <v>0</v>
      </c>
      <c r="H34" s="301">
        <f t="shared" si="3"/>
        <v>-7088065.589499994</v>
      </c>
      <c r="I34" s="301">
        <f t="shared" si="3"/>
        <v>-4367487.053978283</v>
      </c>
      <c r="J34" s="321">
        <f t="shared" si="3"/>
        <v>-8218717.139999999</v>
      </c>
      <c r="K34" s="301">
        <f t="shared" si="3"/>
        <v>1451371.7</v>
      </c>
      <c r="L34" s="301">
        <f t="shared" si="3"/>
        <v>952640817.1294262</v>
      </c>
      <c r="M34" s="301"/>
      <c r="N34" s="321">
        <f>N17+N23+N25+N27+N32</f>
        <v>932644886.3778796</v>
      </c>
      <c r="P34" s="296"/>
    </row>
    <row r="35" spans="1:16" ht="12.75">
      <c r="A35" s="289">
        <f t="shared" si="0"/>
        <v>22</v>
      </c>
      <c r="B35" s="289" t="s">
        <v>255</v>
      </c>
      <c r="C35" s="277" t="s">
        <v>253</v>
      </c>
      <c r="D35" s="320">
        <v>-11622044.653333334</v>
      </c>
      <c r="E35" s="320"/>
      <c r="F35" s="320"/>
      <c r="G35" s="320"/>
      <c r="H35" s="291"/>
      <c r="I35" s="291"/>
      <c r="J35" s="320"/>
      <c r="K35" s="291"/>
      <c r="L35" s="291">
        <f>SUM(D35:K35)</f>
        <v>-11622044.653333334</v>
      </c>
      <c r="M35" s="301"/>
      <c r="N35" s="319">
        <f>L35*$N$12</f>
        <v>-11378097.936059868</v>
      </c>
      <c r="P35" s="296"/>
    </row>
    <row r="36" spans="1:16" ht="12.75">
      <c r="A36" s="289">
        <f t="shared" si="0"/>
        <v>23</v>
      </c>
      <c r="D36" s="318"/>
      <c r="E36" s="318"/>
      <c r="F36" s="318"/>
      <c r="G36" s="318"/>
      <c r="H36" s="317"/>
      <c r="I36" s="317"/>
      <c r="J36" s="318"/>
      <c r="K36" s="317"/>
      <c r="L36" s="317"/>
      <c r="M36" s="286"/>
      <c r="N36" s="317"/>
      <c r="O36" s="379"/>
      <c r="P36" s="296"/>
    </row>
    <row r="37" spans="1:16" ht="13.5" thickBot="1">
      <c r="A37" s="289">
        <f t="shared" si="0"/>
        <v>24</v>
      </c>
      <c r="B37" s="277" t="s">
        <v>254</v>
      </c>
      <c r="D37" s="316">
        <f aca="true" t="shared" si="4" ref="D37:L37">SUM(D34:D36)</f>
        <v>980831731.5595713</v>
      </c>
      <c r="E37" s="316">
        <f t="shared" si="4"/>
        <v>0</v>
      </c>
      <c r="F37" s="316">
        <f t="shared" si="4"/>
        <v>-21590061</v>
      </c>
      <c r="G37" s="316">
        <f t="shared" si="4"/>
        <v>0</v>
      </c>
      <c r="H37" s="312">
        <f t="shared" si="4"/>
        <v>-7088065.589499994</v>
      </c>
      <c r="I37" s="312">
        <f t="shared" si="4"/>
        <v>-4367487.053978283</v>
      </c>
      <c r="J37" s="316">
        <f t="shared" si="4"/>
        <v>-8218717.139999999</v>
      </c>
      <c r="K37" s="312">
        <f t="shared" si="4"/>
        <v>1451371.7</v>
      </c>
      <c r="L37" s="312">
        <f t="shared" si="4"/>
        <v>941018772.4760929</v>
      </c>
      <c r="M37" s="315"/>
      <c r="N37" s="312">
        <f>SUM(N34:N36)</f>
        <v>921266788.4418198</v>
      </c>
      <c r="O37" s="381"/>
      <c r="P37" s="296"/>
    </row>
    <row r="38" spans="1:16" ht="14.25" thickBot="1" thickTop="1">
      <c r="A38" s="285">
        <f t="shared" si="0"/>
        <v>25</v>
      </c>
      <c r="B38" s="284"/>
      <c r="C38" s="284"/>
      <c r="D38" s="313"/>
      <c r="E38" s="313"/>
      <c r="F38" s="313"/>
      <c r="G38" s="313"/>
      <c r="H38" s="313"/>
      <c r="I38" s="313"/>
      <c r="J38" s="314"/>
      <c r="K38" s="313"/>
      <c r="L38" s="313"/>
      <c r="M38" s="312"/>
      <c r="N38" s="311">
        <v>0</v>
      </c>
      <c r="P38" s="296"/>
    </row>
    <row r="39" spans="1:16" ht="13.5" thickTop="1">
      <c r="A39" s="283"/>
      <c r="B39" s="310"/>
      <c r="C39" s="309"/>
      <c r="D39" s="308"/>
      <c r="E39" s="308"/>
      <c r="F39" s="307"/>
      <c r="G39" s="307"/>
      <c r="H39" s="307"/>
      <c r="I39" s="307"/>
      <c r="J39" s="307"/>
      <c r="K39" s="307"/>
      <c r="L39" s="304"/>
      <c r="M39" s="307"/>
      <c r="N39" s="307"/>
      <c r="P39" s="296"/>
    </row>
    <row r="40" spans="1:14" ht="12.75">
      <c r="A40" s="289"/>
      <c r="B40" s="306"/>
      <c r="C40" s="305"/>
      <c r="D40" s="303"/>
      <c r="E40" s="303"/>
      <c r="F40" s="303"/>
      <c r="G40" s="303"/>
      <c r="H40" s="303"/>
      <c r="I40" s="303"/>
      <c r="J40" s="304"/>
      <c r="K40" s="303"/>
      <c r="L40" s="302"/>
      <c r="M40" s="302"/>
      <c r="N40" s="302"/>
    </row>
    <row r="41" spans="1:14" ht="12.75">
      <c r="A41" s="289"/>
      <c r="B41" s="288"/>
      <c r="D41" s="287"/>
      <c r="E41" s="287"/>
      <c r="F41" s="287"/>
      <c r="G41" s="287"/>
      <c r="H41" s="287"/>
      <c r="I41" s="287"/>
      <c r="J41" s="287"/>
      <c r="K41" s="287"/>
      <c r="L41" s="302"/>
      <c r="M41" s="302"/>
      <c r="N41" s="302"/>
    </row>
    <row r="42" spans="1:17" ht="12.75">
      <c r="A42" s="289"/>
      <c r="B42" s="290"/>
      <c r="D42" s="300"/>
      <c r="E42" s="300"/>
      <c r="F42" s="300"/>
      <c r="G42" s="300"/>
      <c r="H42" s="300"/>
      <c r="I42" s="300"/>
      <c r="J42" s="301"/>
      <c r="K42" s="300"/>
      <c r="L42" s="293"/>
      <c r="M42" s="286"/>
      <c r="N42" s="293"/>
      <c r="P42" s="379"/>
      <c r="Q42" s="379"/>
    </row>
    <row r="43" spans="1:14" ht="12.75">
      <c r="A43" s="289"/>
      <c r="B43" s="292"/>
      <c r="D43" s="287"/>
      <c r="E43" s="287"/>
      <c r="F43" s="287"/>
      <c r="G43" s="287"/>
      <c r="H43" s="287"/>
      <c r="I43" s="287"/>
      <c r="J43" s="287"/>
      <c r="K43" s="287"/>
      <c r="L43" s="291"/>
      <c r="M43" s="287"/>
      <c r="N43" s="291"/>
    </row>
    <row r="44" spans="1:16" ht="12.75">
      <c r="A44" s="289"/>
      <c r="B44" s="292"/>
      <c r="D44" s="287"/>
      <c r="E44" s="287"/>
      <c r="F44" s="287"/>
      <c r="G44" s="287"/>
      <c r="H44" s="287"/>
      <c r="I44" s="287"/>
      <c r="J44" s="287"/>
      <c r="K44" s="287"/>
      <c r="L44" s="299"/>
      <c r="M44" s="287"/>
      <c r="N44" s="291"/>
      <c r="P44" s="296"/>
    </row>
    <row r="45" spans="1:15" ht="12.75">
      <c r="A45" s="289"/>
      <c r="B45" s="292"/>
      <c r="D45" s="287"/>
      <c r="E45" s="287"/>
      <c r="F45" s="287"/>
      <c r="G45" s="287"/>
      <c r="H45" s="287"/>
      <c r="I45" s="287"/>
      <c r="J45" s="287"/>
      <c r="K45" s="286"/>
      <c r="L45" s="324"/>
      <c r="M45" s="286"/>
      <c r="N45" s="301"/>
      <c r="O45" s="381"/>
    </row>
    <row r="46" spans="1:15" ht="12.75">
      <c r="A46" s="289"/>
      <c r="B46" s="292"/>
      <c r="D46" s="287"/>
      <c r="E46" s="287"/>
      <c r="F46" s="287"/>
      <c r="G46" s="287"/>
      <c r="H46" s="287"/>
      <c r="I46" s="287"/>
      <c r="J46" s="287"/>
      <c r="K46" s="286"/>
      <c r="L46" s="324"/>
      <c r="M46" s="286"/>
      <c r="N46" s="301"/>
      <c r="O46" s="381"/>
    </row>
    <row r="47" spans="1:15" ht="12.75">
      <c r="A47" s="289"/>
      <c r="B47" s="292"/>
      <c r="D47" s="287"/>
      <c r="E47" s="287"/>
      <c r="F47" s="287"/>
      <c r="G47" s="287"/>
      <c r="H47" s="287"/>
      <c r="I47" s="287"/>
      <c r="J47" s="287"/>
      <c r="K47" s="286"/>
      <c r="L47" s="324"/>
      <c r="M47" s="286"/>
      <c r="N47" s="301"/>
      <c r="O47" s="381"/>
    </row>
    <row r="48" spans="1:15" ht="12.75">
      <c r="A48" s="289"/>
      <c r="B48" s="292"/>
      <c r="D48" s="287"/>
      <c r="E48" s="287"/>
      <c r="F48" s="287"/>
      <c r="G48" s="287"/>
      <c r="H48" s="287"/>
      <c r="I48" s="287"/>
      <c r="J48" s="287"/>
      <c r="K48" s="286"/>
      <c r="L48" s="324"/>
      <c r="M48" s="286"/>
      <c r="N48" s="301"/>
      <c r="O48" s="381"/>
    </row>
    <row r="49" spans="1:15" ht="12.75">
      <c r="A49" s="289"/>
      <c r="B49" s="294"/>
      <c r="D49" s="287"/>
      <c r="E49" s="287"/>
      <c r="F49" s="287"/>
      <c r="G49" s="287"/>
      <c r="H49" s="287"/>
      <c r="I49" s="287"/>
      <c r="J49" s="287"/>
      <c r="K49" s="286"/>
      <c r="L49" s="293"/>
      <c r="M49" s="286"/>
      <c r="N49" s="293"/>
      <c r="O49" s="382"/>
    </row>
    <row r="50" spans="1:17" ht="12.75">
      <c r="A50" s="289"/>
      <c r="D50" s="287"/>
      <c r="E50" s="287"/>
      <c r="F50" s="287"/>
      <c r="G50" s="287"/>
      <c r="H50" s="287"/>
      <c r="I50" s="287"/>
      <c r="J50" s="287"/>
      <c r="K50" s="286"/>
      <c r="L50" s="293"/>
      <c r="M50" s="286"/>
      <c r="N50" s="298"/>
      <c r="P50" s="379"/>
      <c r="Q50" s="379"/>
    </row>
    <row r="51" spans="1:17" ht="12.75">
      <c r="A51" s="289"/>
      <c r="B51" s="288"/>
      <c r="D51" s="287"/>
      <c r="E51" s="287"/>
      <c r="F51" s="287"/>
      <c r="G51" s="287"/>
      <c r="H51" s="287"/>
      <c r="I51" s="287"/>
      <c r="J51" s="287"/>
      <c r="K51" s="286"/>
      <c r="L51" s="293"/>
      <c r="M51" s="286"/>
      <c r="N51" s="298"/>
      <c r="P51" s="379"/>
      <c r="Q51" s="379"/>
    </row>
    <row r="52" spans="1:17" ht="12.75">
      <c r="A52" s="289"/>
      <c r="B52" s="290"/>
      <c r="D52" s="287"/>
      <c r="E52" s="287"/>
      <c r="F52" s="287"/>
      <c r="G52" s="287"/>
      <c r="H52" s="287"/>
      <c r="I52" s="287"/>
      <c r="J52" s="287"/>
      <c r="K52" s="286"/>
      <c r="L52" s="293"/>
      <c r="M52" s="286"/>
      <c r="N52" s="293"/>
      <c r="O52" s="381"/>
      <c r="P52" s="379"/>
      <c r="Q52" s="379"/>
    </row>
    <row r="53" spans="1:17" ht="12.75">
      <c r="A53" s="289"/>
      <c r="B53" s="290"/>
      <c r="D53" s="287"/>
      <c r="E53" s="287"/>
      <c r="F53" s="287"/>
      <c r="G53" s="287"/>
      <c r="H53" s="287"/>
      <c r="I53" s="287"/>
      <c r="J53" s="287"/>
      <c r="K53" s="286"/>
      <c r="L53" s="301"/>
      <c r="M53" s="286"/>
      <c r="N53" s="301"/>
      <c r="O53" s="381"/>
      <c r="P53" s="379"/>
      <c r="Q53" s="379"/>
    </row>
    <row r="54" spans="1:17" ht="12.75">
      <c r="A54" s="289"/>
      <c r="B54" s="290"/>
      <c r="D54" s="287"/>
      <c r="E54" s="287"/>
      <c r="F54" s="287"/>
      <c r="G54" s="287"/>
      <c r="H54" s="287"/>
      <c r="I54" s="287"/>
      <c r="J54" s="287"/>
      <c r="K54" s="286"/>
      <c r="L54" s="301"/>
      <c r="M54" s="286"/>
      <c r="N54" s="301"/>
      <c r="O54" s="381"/>
      <c r="P54" s="379"/>
      <c r="Q54" s="379"/>
    </row>
    <row r="55" spans="1:17" ht="12.75">
      <c r="A55" s="289"/>
      <c r="B55" s="290"/>
      <c r="D55" s="287"/>
      <c r="E55" s="287"/>
      <c r="F55" s="287"/>
      <c r="G55" s="287"/>
      <c r="H55" s="287"/>
      <c r="I55" s="287"/>
      <c r="J55" s="287"/>
      <c r="K55" s="286"/>
      <c r="L55" s="301"/>
      <c r="M55" s="286"/>
      <c r="N55" s="301"/>
      <c r="O55" s="381"/>
      <c r="P55" s="379"/>
      <c r="Q55" s="379"/>
    </row>
    <row r="56" spans="1:17" ht="12.75">
      <c r="A56" s="289"/>
      <c r="B56" s="290"/>
      <c r="D56" s="287"/>
      <c r="E56" s="287"/>
      <c r="F56" s="287"/>
      <c r="G56" s="287"/>
      <c r="H56" s="287"/>
      <c r="I56" s="287"/>
      <c r="J56" s="287"/>
      <c r="K56" s="286"/>
      <c r="L56" s="301"/>
      <c r="M56" s="286"/>
      <c r="N56" s="301"/>
      <c r="O56" s="381"/>
      <c r="P56" s="379"/>
      <c r="Q56" s="379"/>
    </row>
    <row r="57" spans="1:17" ht="12.75">
      <c r="A57" s="289"/>
      <c r="B57" s="297"/>
      <c r="D57" s="287"/>
      <c r="E57" s="287"/>
      <c r="F57" s="287"/>
      <c r="G57" s="287"/>
      <c r="H57" s="287"/>
      <c r="I57" s="287"/>
      <c r="J57" s="287"/>
      <c r="K57" s="286"/>
      <c r="L57" s="296"/>
      <c r="M57" s="286"/>
      <c r="N57" s="301"/>
      <c r="O57" s="381"/>
      <c r="P57" s="379"/>
      <c r="Q57" s="379"/>
    </row>
    <row r="58" spans="1:17" ht="12.75">
      <c r="A58" s="289"/>
      <c r="B58" s="292"/>
      <c r="D58" s="287"/>
      <c r="E58" s="287"/>
      <c r="F58" s="287"/>
      <c r="G58" s="287"/>
      <c r="H58" s="287"/>
      <c r="I58" s="287"/>
      <c r="J58" s="287"/>
      <c r="K58" s="286"/>
      <c r="L58" s="301"/>
      <c r="M58" s="286"/>
      <c r="N58" s="301"/>
      <c r="O58" s="381"/>
      <c r="P58" s="379"/>
      <c r="Q58" s="379"/>
    </row>
    <row r="59" spans="1:17" ht="12.75">
      <c r="A59" s="289"/>
      <c r="B59" s="292"/>
      <c r="D59" s="287"/>
      <c r="E59" s="287"/>
      <c r="F59" s="287"/>
      <c r="G59" s="287"/>
      <c r="H59" s="287"/>
      <c r="I59" s="287"/>
      <c r="J59" s="287"/>
      <c r="K59" s="286"/>
      <c r="L59" s="301"/>
      <c r="M59" s="286"/>
      <c r="N59" s="301"/>
      <c r="O59" s="381"/>
      <c r="P59" s="379"/>
      <c r="Q59" s="379"/>
    </row>
    <row r="60" spans="1:17" ht="12.75">
      <c r="A60" s="289"/>
      <c r="B60" s="295"/>
      <c r="D60" s="287"/>
      <c r="E60" s="287"/>
      <c r="F60" s="287"/>
      <c r="G60" s="287"/>
      <c r="H60" s="287"/>
      <c r="I60" s="287"/>
      <c r="J60" s="287"/>
      <c r="K60" s="286"/>
      <c r="L60" s="301"/>
      <c r="M60" s="286"/>
      <c r="N60" s="301"/>
      <c r="O60" s="381"/>
      <c r="P60" s="379"/>
      <c r="Q60" s="379"/>
    </row>
    <row r="61" spans="1:15" ht="12.75">
      <c r="A61" s="289"/>
      <c r="B61" s="294"/>
      <c r="D61" s="287"/>
      <c r="E61" s="287"/>
      <c r="F61" s="287"/>
      <c r="G61" s="287"/>
      <c r="H61" s="287"/>
      <c r="I61" s="287"/>
      <c r="J61" s="287"/>
      <c r="K61" s="286"/>
      <c r="L61" s="293"/>
      <c r="M61" s="286"/>
      <c r="N61" s="293"/>
      <c r="O61" s="381"/>
    </row>
    <row r="62" spans="1:15" ht="12.75">
      <c r="A62" s="289"/>
      <c r="D62" s="287"/>
      <c r="E62" s="287"/>
      <c r="F62" s="287"/>
      <c r="G62" s="287"/>
      <c r="H62" s="287"/>
      <c r="I62" s="287"/>
      <c r="J62" s="287"/>
      <c r="K62" s="286"/>
      <c r="L62" s="293"/>
      <c r="M62" s="286"/>
      <c r="N62" s="293"/>
      <c r="O62" s="381"/>
    </row>
    <row r="63" spans="1:15" ht="12.75">
      <c r="A63" s="289"/>
      <c r="B63" s="288"/>
      <c r="D63" s="287"/>
      <c r="E63" s="287"/>
      <c r="F63" s="287"/>
      <c r="G63" s="287"/>
      <c r="H63" s="287"/>
      <c r="I63" s="287"/>
      <c r="J63" s="287"/>
      <c r="K63" s="286"/>
      <c r="L63" s="293"/>
      <c r="M63" s="286"/>
      <c r="N63" s="293"/>
      <c r="O63" s="381"/>
    </row>
    <row r="64" spans="1:15" ht="12.75">
      <c r="A64" s="289"/>
      <c r="B64" s="290"/>
      <c r="D64" s="287"/>
      <c r="E64" s="287"/>
      <c r="F64" s="287"/>
      <c r="G64" s="287"/>
      <c r="H64" s="287"/>
      <c r="I64" s="287"/>
      <c r="J64" s="287"/>
      <c r="K64" s="286"/>
      <c r="L64" s="293"/>
      <c r="M64" s="286"/>
      <c r="N64" s="293"/>
      <c r="O64" s="381"/>
    </row>
    <row r="65" spans="1:15" ht="12.75">
      <c r="A65" s="289"/>
      <c r="B65" s="290"/>
      <c r="D65" s="287"/>
      <c r="E65" s="287"/>
      <c r="F65" s="287"/>
      <c r="G65" s="287"/>
      <c r="H65" s="287"/>
      <c r="I65" s="287"/>
      <c r="J65" s="287"/>
      <c r="K65" s="286"/>
      <c r="L65" s="293"/>
      <c r="M65" s="286"/>
      <c r="N65" s="293"/>
      <c r="O65" s="381"/>
    </row>
    <row r="66" spans="1:15" ht="12.75">
      <c r="A66" s="289"/>
      <c r="B66" s="292"/>
      <c r="D66" s="287"/>
      <c r="E66" s="287"/>
      <c r="F66" s="287"/>
      <c r="G66" s="287"/>
      <c r="H66" s="287"/>
      <c r="I66" s="287"/>
      <c r="J66" s="287"/>
      <c r="K66" s="286"/>
      <c r="L66" s="301"/>
      <c r="M66" s="301"/>
      <c r="N66" s="301"/>
      <c r="O66" s="381"/>
    </row>
    <row r="67" spans="1:15" ht="12.75">
      <c r="A67" s="289"/>
      <c r="B67" s="292"/>
      <c r="D67" s="287"/>
      <c r="E67" s="287"/>
      <c r="F67" s="287"/>
      <c r="G67" s="287"/>
      <c r="H67" s="287"/>
      <c r="I67" s="287"/>
      <c r="J67" s="287"/>
      <c r="K67" s="286"/>
      <c r="L67" s="301"/>
      <c r="M67" s="301"/>
      <c r="N67" s="301"/>
      <c r="O67" s="381"/>
    </row>
    <row r="68" spans="1:15" ht="12.75">
      <c r="A68" s="289"/>
      <c r="B68" s="292"/>
      <c r="D68" s="287"/>
      <c r="E68" s="287"/>
      <c r="F68" s="287"/>
      <c r="G68" s="287"/>
      <c r="H68" s="287"/>
      <c r="I68" s="287"/>
      <c r="J68" s="287"/>
      <c r="K68" s="286"/>
      <c r="L68" s="301"/>
      <c r="M68" s="301"/>
      <c r="N68" s="301"/>
      <c r="O68" s="381"/>
    </row>
    <row r="69" spans="1:15" ht="12.75">
      <c r="A69" s="289"/>
      <c r="B69" s="290"/>
      <c r="D69" s="287"/>
      <c r="E69" s="287"/>
      <c r="F69" s="287"/>
      <c r="G69" s="287"/>
      <c r="H69" s="287"/>
      <c r="I69" s="287"/>
      <c r="J69" s="287"/>
      <c r="K69" s="286"/>
      <c r="L69" s="384"/>
      <c r="M69" s="326"/>
      <c r="N69" s="384"/>
      <c r="O69" s="381"/>
    </row>
    <row r="70" spans="1:16" ht="12.75">
      <c r="A70" s="289"/>
      <c r="B70" s="288"/>
      <c r="D70" s="287"/>
      <c r="E70" s="287"/>
      <c r="F70" s="287"/>
      <c r="G70" s="287"/>
      <c r="H70" s="287"/>
      <c r="I70" s="287"/>
      <c r="J70" s="287"/>
      <c r="K70" s="286"/>
      <c r="L70" s="293"/>
      <c r="M70" s="286"/>
      <c r="N70" s="293"/>
      <c r="O70" s="381"/>
      <c r="P70" s="381"/>
    </row>
    <row r="71" spans="1:15" ht="12.75">
      <c r="A71" s="329"/>
      <c r="B71" s="326"/>
      <c r="C71" s="326"/>
      <c r="D71" s="286"/>
      <c r="E71" s="286"/>
      <c r="F71" s="286"/>
      <c r="G71" s="286"/>
      <c r="H71" s="286"/>
      <c r="I71" s="286"/>
      <c r="J71" s="387"/>
      <c r="K71" s="286"/>
      <c r="L71" s="385"/>
      <c r="M71" s="385"/>
      <c r="N71" s="385"/>
      <c r="O71" s="381"/>
    </row>
    <row r="72" spans="1:15" ht="12.75">
      <c r="A72" s="283"/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83"/>
    </row>
    <row r="73" spans="1:15" ht="12.75">
      <c r="A73" s="388"/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81"/>
      <c r="O73" s="383"/>
    </row>
    <row r="74" spans="1:15" ht="12.75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84"/>
      <c r="M74" s="326"/>
      <c r="N74" s="386"/>
      <c r="O74" s="383"/>
    </row>
    <row r="75" spans="11:15" ht="12.75">
      <c r="K75" s="326"/>
      <c r="L75" s="384"/>
      <c r="M75" s="326"/>
      <c r="N75" s="381"/>
      <c r="O75" s="383"/>
    </row>
    <row r="76" spans="11:14" ht="12.75">
      <c r="K76" s="326"/>
      <c r="L76" s="384"/>
      <c r="M76" s="326"/>
      <c r="N76" s="381"/>
    </row>
    <row r="77" spans="11:14" ht="12.75">
      <c r="K77" s="326"/>
      <c r="L77" s="384"/>
      <c r="M77" s="326"/>
      <c r="N77" s="296"/>
    </row>
    <row r="78" spans="10:14" ht="12.75">
      <c r="J78" s="281"/>
      <c r="K78" s="326"/>
      <c r="L78" s="379"/>
      <c r="M78" s="326"/>
      <c r="N78" s="328"/>
    </row>
    <row r="79" spans="11:14" ht="12.75">
      <c r="K79" s="326"/>
      <c r="L79" s="326"/>
      <c r="M79" s="326"/>
      <c r="N79" s="326"/>
    </row>
    <row r="81" ht="12.75">
      <c r="N81" s="279"/>
    </row>
    <row r="83" ht="12.75">
      <c r="N83" s="278"/>
    </row>
  </sheetData>
  <sheetProtection/>
  <conditionalFormatting sqref="O61:O70 O49 N38 P38">
    <cfRule type="cellIs" priority="1" dxfId="0" operator="notEqual" stopIfTrue="1">
      <formula>0</formula>
    </cfRule>
  </conditionalFormatting>
  <printOptions horizontalCentered="1" verticalCentered="1"/>
  <pageMargins left="0.5" right="0.5" top="0.5" bottom="0.5" header="0.33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No Name</cp:lastModifiedBy>
  <cp:lastPrinted>2011-05-28T17:37:02Z</cp:lastPrinted>
  <dcterms:created xsi:type="dcterms:W3CDTF">2011-05-24T17:22:12Z</dcterms:created>
  <dcterms:modified xsi:type="dcterms:W3CDTF">2011-05-28T17:43:09Z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