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.xml" ContentType="application/vnd.openxmlformats-officedocument.drawingml.chart+xml"/>
  <Override PartName="/xl/charts/chart18.xml" ContentType="application/vnd.openxmlformats-officedocument.drawingml.chart+xml"/>
  <Override PartName="/xl/charts/colors9.xml" ContentType="application/vnd.ms-office.chartcolorstyle+xml"/>
  <Override PartName="/xl/charts/style9.xml" ContentType="application/vnd.ms-office.chartstyle+xml"/>
  <Override PartName="/xl/charts/chart17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drawings/drawing6.xml" ContentType="application/vnd.openxmlformats-officedocument.drawing+xml"/>
  <Override PartName="/xl/charts/colors6.xml" ContentType="application/vnd.ms-office.chartcolorstyle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charts/chart3.xml" ContentType="application/vnd.openxmlformats-officedocument.drawingml.char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style1.xml" ContentType="application/vnd.ms-office.chartstyle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style2.xml" ContentType="application/vnd.ms-office.chartstyle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harts/chart4.xml" ContentType="application/vnd.openxmlformats-officedocument.drawingml.chart+xml"/>
  <Override PartName="/xl/charts/colors3.xml" ContentType="application/vnd.ms-office.chartcolor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style3.xml" ContentType="application/vnd.ms-office.chartstyl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olors2.xml" ContentType="application/vnd.ms-office.chartcolorstyle+xml"/>
  <Override PartName="/xl/worksheets/sheet9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0204/Data Requests and Responses/"/>
    </mc:Choice>
  </mc:AlternateContent>
  <bookViews>
    <workbookView xWindow="-12" yWindow="-12" windowWidth="11616" windowHeight="8448" tabRatio="708"/>
  </bookViews>
  <sheets>
    <sheet name="HIDDEN WORKSHEETS" sheetId="152" r:id="rId1"/>
    <sheet name="Summary" sheetId="126" r:id="rId2"/>
    <sheet name="ROR" sheetId="110" r:id="rId3"/>
    <sheet name="Attrition 09.2014 to 2016" sheetId="120" r:id="rId4"/>
    <sheet name="Cost Trends" sheetId="122" r:id="rId5"/>
    <sheet name="Net Plant" sheetId="144" r:id="rId6"/>
    <sheet name="remove dist" sheetId="151" r:id="rId7"/>
    <sheet name="Dep-Amort" sheetId="142" r:id="rId8"/>
    <sheet name="Adj Taxes" sheetId="143" r:id="rId9"/>
    <sheet name="Other Revenue" sheetId="145" state="hidden" r:id="rId10"/>
    <sheet name="Adj Operating Exp-2007-2014" sheetId="150" r:id="rId11"/>
    <sheet name="Plant Trends" sheetId="147" state="hidden" r:id="rId12"/>
    <sheet name="Weighted Revenue Growth" sheetId="87" r:id="rId13"/>
    <sheet name="09.2014 Rev Model" sheetId="132" state="hidden" r:id="rId14"/>
    <sheet name="2016 Customers and Demand" sheetId="88" state="hidden" r:id="rId15"/>
    <sheet name="2016 Forecast Energy" sheetId="136" state="hidden" r:id="rId16"/>
    <sheet name="12.2014 CB Power Supply" sheetId="135" state="hidden" r:id="rId17"/>
    <sheet name="456 Revenue" sheetId="140" state="hidden" r:id="rId18"/>
    <sheet name="CS2-Colstrip 2016 Incrmntl Exp" sheetId="141" state="hidden" r:id="rId19"/>
    <sheet name="PF Power Supply 09.2014 load" sheetId="78" r:id="rId20"/>
    <sheet name="PF Power Supply 2016 load" sheetId="139" r:id="rId21"/>
    <sheet name="incremental load expense" sheetId="103" r:id="rId22"/>
    <sheet name="Reg Amorts" sheetId="129" state="hidden" r:id="rId23"/>
    <sheet name="DSM" sheetId="91" state="hidden" r:id="rId24"/>
    <sheet name="ResX" sheetId="94" state="hidden" r:id="rId25"/>
    <sheet name="CBR Hist" sheetId="133" state="hidden" r:id="rId26"/>
    <sheet name="PS Consolidated" sheetId="134" state="hidden" r:id="rId27"/>
    <sheet name="Other Rev" sheetId="130" state="hidden" r:id="rId28"/>
    <sheet name="Sheet1" sheetId="138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14" hidden="1">'2016 Customers and Demand'!$A$2:$H$59</definedName>
    <definedName name="Actuals_Mo">[1]Tables!$B$19</definedName>
    <definedName name="Base1_Billing2" localSheetId="13">'09.2014 Rev Model'!$N$8</definedName>
    <definedName name="Base1_Billing2" localSheetId="16">#REF!</definedName>
    <definedName name="Base1_Billing2" localSheetId="10">#REF!</definedName>
    <definedName name="Base1_Billing2" localSheetId="25">#REF!</definedName>
    <definedName name="Base1_Billing2" localSheetId="20">#REF!</definedName>
    <definedName name="Base1_Billing2" localSheetId="26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3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0">#REF!</definedName>
    <definedName name="ID" localSheetId="20">#REF!</definedName>
    <definedName name="ID">#REF!</definedName>
    <definedName name="ID_001b" localSheetId="16">#REF!</definedName>
    <definedName name="ID_001b" localSheetId="10">#REF!</definedName>
    <definedName name="ID_001b" localSheetId="25">#REF!</definedName>
    <definedName name="ID_001b" localSheetId="20">#REF!</definedName>
    <definedName name="ID_001b" localSheetId="26">#REF!</definedName>
    <definedName name="ID_001b">#REF!</definedName>
    <definedName name="ID_011b" localSheetId="16">#REF!</definedName>
    <definedName name="ID_011b" localSheetId="10">#REF!</definedName>
    <definedName name="ID_011b" localSheetId="25">#REF!</definedName>
    <definedName name="ID_011b" localSheetId="20">#REF!</definedName>
    <definedName name="ID_011b" localSheetId="26">#REF!</definedName>
    <definedName name="ID_011b">#REF!</definedName>
    <definedName name="ID_012b" localSheetId="16">#REF!</definedName>
    <definedName name="ID_012b" localSheetId="10">#REF!</definedName>
    <definedName name="ID_012b" localSheetId="25">#REF!</definedName>
    <definedName name="ID_012b" localSheetId="20">#REF!</definedName>
    <definedName name="ID_012b" localSheetId="26">#REF!</definedName>
    <definedName name="ID_012b">#REF!</definedName>
    <definedName name="ID_021b" localSheetId="16">#REF!</definedName>
    <definedName name="ID_021b" localSheetId="10">#REF!</definedName>
    <definedName name="ID_021b" localSheetId="25">#REF!</definedName>
    <definedName name="ID_021b" localSheetId="20">#REF!</definedName>
    <definedName name="ID_021b" localSheetId="26">#REF!</definedName>
    <definedName name="ID_021b">#REF!</definedName>
    <definedName name="ID_Gas" localSheetId="16">'[5]DEBT CALC'!#REF!</definedName>
    <definedName name="ID_Gas" localSheetId="10">'[5]DEBT CALC'!#REF!</definedName>
    <definedName name="ID_Gas" localSheetId="3">'[5]DEBT CALC'!#REF!</definedName>
    <definedName name="ID_Gas" localSheetId="25">'[5]DEBT CALC'!#REF!</definedName>
    <definedName name="ID_Gas" localSheetId="4">'[5]DEBT CALC'!#REF!</definedName>
    <definedName name="ID_Gas" localSheetId="20">'[5]DEBT CALC'!#REF!</definedName>
    <definedName name="ID_Gas" localSheetId="26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3">'09.2014 Rev Model'!$A$1:$I$295</definedName>
    <definedName name="_xlnm.Print_Area" localSheetId="16">'12.2014 CB Power Supply'!$A$1:$H$48</definedName>
    <definedName name="_xlnm.Print_Area" localSheetId="14">'2016 Customers and Demand'!$A$1:$H$59</definedName>
    <definedName name="_xlnm.Print_Area" localSheetId="15">'2016 Forecast Energy'!$A$1:$H$40</definedName>
    <definedName name="_xlnm.Print_Area" localSheetId="10">'Adj Operating Exp-2007-2014'!$A$1:$J$60</definedName>
    <definedName name="_xlnm.Print_Area" localSheetId="3">'Attrition 09.2014 to 2016'!$A$1:$T$91</definedName>
    <definedName name="_xlnm.Print_Area" localSheetId="25">'CBR Hist'!$A$1:$U$79</definedName>
    <definedName name="_xlnm.Print_Area" localSheetId="4">'Cost Trends'!$A$1:$T$141</definedName>
    <definedName name="_xlnm.Print_Area" localSheetId="7">'Dep-Amort'!$A$1:$I$60</definedName>
    <definedName name="_xlnm.Print_Area" localSheetId="21">'incremental load expense'!$A$1:$J$53</definedName>
    <definedName name="_xlnm.Print_Area" localSheetId="5">'Net Plant'!$A$1:$I$60</definedName>
    <definedName name="_xlnm.Print_Area" localSheetId="20">'PF Power Supply 2016 load'!$A$1:$H$46</definedName>
    <definedName name="_xlnm.Print_Area" localSheetId="2">ROR!$A$1:$L$26</definedName>
    <definedName name="_xlnm.Print_Area" localSheetId="1">Summary!$A$1:$H$39</definedName>
    <definedName name="Print_for_Checking" localSheetId="16">'[5]ADJ SUMMARY'!#REF!:'[5]ADJ SUMMARY'!#REF!</definedName>
    <definedName name="Print_for_Checking" localSheetId="10">'[5]ADJ SUMMARY'!#REF!:'[5]ADJ SUMMARY'!#REF!</definedName>
    <definedName name="Print_for_Checking" localSheetId="3">'[5]ADJ SUMMARY'!#REF!:'[5]ADJ SUMMARY'!#REF!</definedName>
    <definedName name="Print_for_Checking" localSheetId="25">'[5]ADJ SUMMARY'!#REF!:'[5]ADJ SUMMARY'!#REF!</definedName>
    <definedName name="Print_for_Checking" localSheetId="4">'[5]ADJ SUMMARY'!#REF!:'[5]ADJ SUMMARY'!#REF!</definedName>
    <definedName name="Print_for_Checking" localSheetId="20">'[5]ADJ SUMMARY'!#REF!:'[5]ADJ SUMMARY'!#REF!</definedName>
    <definedName name="Print_for_Checking" localSheetId="26">'[5]ADJ SUMMARY'!#REF!:'[5]ADJ SUMMARY'!#REF!</definedName>
    <definedName name="Print_for_Checking">'[5]ADJ SUMMARY'!#REF!:'[5]ADJ SUMMARY'!#REF!</definedName>
    <definedName name="_xlnm.Print_Titles" localSheetId="25">'CBR Hist'!$A:$D,'CBR Hist'!$1:$9</definedName>
    <definedName name="_xlnm.Print_Titles" localSheetId="4">'Cost Trends'!$2:$2</definedName>
    <definedName name="PrintHeader" localSheetId="13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3">'[3]St Lts'!$AD$1</definedName>
    <definedName name="SL_RateIncr">'[4]St Lts'!$AD$1</definedName>
    <definedName name="StartMo">[1]Tables!$B$13</definedName>
    <definedName name="Summary" localSheetId="16">#REF!</definedName>
    <definedName name="Summary" localSheetId="10">#REF!</definedName>
    <definedName name="Summary" localSheetId="3">#REF!</definedName>
    <definedName name="Summary" localSheetId="25">#REF!</definedName>
    <definedName name="Summary" localSheetId="4">#REF!</definedName>
    <definedName name="Summary" localSheetId="20">#REF!</definedName>
    <definedName name="Summary" localSheetId="26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6">#REF!</definedName>
    <definedName name="WA_001b" localSheetId="10">#REF!</definedName>
    <definedName name="WA_001b" localSheetId="25">#REF!</definedName>
    <definedName name="WA_001b" localSheetId="20">#REF!</definedName>
    <definedName name="WA_001b" localSheetId="26">#REF!</definedName>
    <definedName name="WA_001b">#REF!</definedName>
    <definedName name="WA_011b" localSheetId="16">#REF!</definedName>
    <definedName name="WA_011b" localSheetId="10">#REF!</definedName>
    <definedName name="WA_011b" localSheetId="25">#REF!</definedName>
    <definedName name="WA_011b" localSheetId="20">#REF!</definedName>
    <definedName name="WA_011b" localSheetId="26">#REF!</definedName>
    <definedName name="WA_011b">#REF!</definedName>
    <definedName name="WA_012b" localSheetId="16">#REF!</definedName>
    <definedName name="WA_012b" localSheetId="10">#REF!</definedName>
    <definedName name="WA_012b" localSheetId="25">#REF!</definedName>
    <definedName name="WA_012b" localSheetId="20">#REF!</definedName>
    <definedName name="WA_012b" localSheetId="26">#REF!</definedName>
    <definedName name="WA_012b">#REF!</definedName>
    <definedName name="WA_021b" localSheetId="16">#REF!</definedName>
    <definedName name="WA_021b" localSheetId="10">#REF!</definedName>
    <definedName name="WA_021b" localSheetId="25">#REF!</definedName>
    <definedName name="WA_021b" localSheetId="20">#REF!</definedName>
    <definedName name="WA_021b" localSheetId="26">#REF!</definedName>
    <definedName name="WA_021b">#REF!</definedName>
    <definedName name="WA_Gas" localSheetId="16">'[5]DEBT CALC'!#REF!</definedName>
    <definedName name="WA_Gas" localSheetId="10">'[5]DEBT CALC'!#REF!</definedName>
    <definedName name="WA_Gas" localSheetId="3">'[5]DEBT CALC'!#REF!</definedName>
    <definedName name="WA_Gas" localSheetId="25">'[5]DEBT CALC'!#REF!</definedName>
    <definedName name="WA_Gas" localSheetId="4">'[5]DEBT CALC'!#REF!</definedName>
    <definedName name="WA_Gas" localSheetId="18">'[5]DEBT CALC'!#REF!</definedName>
    <definedName name="WA_Gas" localSheetId="20">'[5]DEBT CALC'!#REF!</definedName>
    <definedName name="WA_Gas" localSheetId="26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5" hidden="1">'CBR Hist'!#REF!,'CBR Hist'!$E:$E</definedName>
    <definedName name="Z_6E1B8C45_B07F_11D2_B0DC_0000832CDFF0_.wvu.PrintArea" localSheetId="25" hidden="1">'CBR Hist'!$E:$E</definedName>
    <definedName name="Z_6E1B8C45_B07F_11D2_B0DC_0000832CDFF0_.wvu.PrintTitles" localSheetId="25" hidden="1">'CBR Hist'!$A:$D,'CBR Hist'!$1:$9</definedName>
    <definedName name="Z_A15D1962_B049_11D2_8670_0000832CEEE8_.wvu.Cols" localSheetId="25" hidden="1">'CBR Hist'!$E:$E</definedName>
  </definedNames>
  <calcPr calcId="152511"/>
</workbook>
</file>

<file path=xl/calcChain.xml><?xml version="1.0" encoding="utf-8"?>
<calcChain xmlns="http://schemas.openxmlformats.org/spreadsheetml/2006/main">
  <c r="K58" i="120" l="1"/>
  <c r="H8" i="144"/>
  <c r="G8" i="144"/>
  <c r="F8" i="144"/>
  <c r="G36" i="151"/>
  <c r="H36" i="151"/>
  <c r="I36" i="151"/>
  <c r="F36" i="151"/>
  <c r="B8" i="151" l="1"/>
  <c r="B11" i="151" s="1"/>
  <c r="B13" i="151" s="1"/>
  <c r="K16" i="120" l="1"/>
  <c r="H10" i="150"/>
  <c r="D42" i="150" l="1"/>
  <c r="G38" i="150"/>
  <c r="C41" i="150" s="1"/>
  <c r="C43" i="150" s="1"/>
  <c r="F38" i="150"/>
  <c r="E37" i="150"/>
  <c r="D37" i="150"/>
  <c r="G36" i="150"/>
  <c r="B42" i="150" s="1"/>
  <c r="F36" i="150"/>
  <c r="C36" i="150"/>
  <c r="B36" i="150"/>
  <c r="D41" i="150" l="1"/>
  <c r="D43" i="150" s="1"/>
  <c r="G76" i="120" l="1"/>
  <c r="G19" i="120"/>
  <c r="N183" i="122" l="1"/>
  <c r="I62" i="120" l="1"/>
  <c r="S46" i="120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R38" i="120" l="1"/>
  <c r="R28" i="120"/>
  <c r="F47" i="135"/>
  <c r="D5" i="141" s="1"/>
  <c r="F46" i="135"/>
  <c r="D4" i="141" s="1"/>
  <c r="F46" i="78"/>
  <c r="F5" i="141" s="1"/>
  <c r="F45" i="78"/>
  <c r="F4" i="141" s="1"/>
  <c r="F45" i="139"/>
  <c r="F44" i="139"/>
  <c r="G4" i="141" l="1"/>
  <c r="G5" i="141"/>
  <c r="F6" i="14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D26" i="139"/>
  <c r="F26" i="139" s="1"/>
  <c r="D11" i="139"/>
  <c r="J27" i="140"/>
  <c r="J28" i="140"/>
  <c r="J29" i="140"/>
  <c r="J26" i="140"/>
  <c r="J24" i="140"/>
  <c r="J34" i="140" s="1"/>
  <c r="I31" i="140"/>
  <c r="I32" i="140"/>
  <c r="I30" i="140"/>
  <c r="I18" i="140"/>
  <c r="I19" i="140"/>
  <c r="I20" i="140"/>
  <c r="I21" i="140"/>
  <c r="I22" i="140"/>
  <c r="I23" i="140"/>
  <c r="I17" i="140"/>
  <c r="I34" i="140" l="1"/>
  <c r="H7" i="120"/>
  <c r="H35" i="120" s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7" i="122" s="1"/>
  <c r="T19" i="122"/>
  <c r="T92" i="122" s="1"/>
  <c r="T20" i="122"/>
  <c r="T23" i="122"/>
  <c r="T27" i="122"/>
  <c r="T94" i="122" s="1"/>
  <c r="T28" i="122"/>
  <c r="T109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0" i="122"/>
  <c r="T59" i="122"/>
  <c r="T90" i="122"/>
  <c r="T93" i="122"/>
  <c r="T101" i="122"/>
  <c r="T102" i="122"/>
  <c r="T116" i="122"/>
  <c r="T122" i="122"/>
  <c r="T125" i="122"/>
  <c r="T126" i="122"/>
  <c r="T139" i="122"/>
  <c r="T13" i="122" l="1"/>
  <c r="T15" i="122" s="1"/>
  <c r="T121" i="122"/>
  <c r="T124" i="122" s="1"/>
  <c r="T127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G34" i="143" l="1"/>
  <c r="B38" i="143" s="1"/>
  <c r="I3" i="143"/>
  <c r="B7" i="143" s="1"/>
  <c r="B8" i="143" s="1"/>
  <c r="K20" i="120" s="1"/>
  <c r="T71" i="133"/>
  <c r="T74" i="133" s="1"/>
  <c r="T78" i="133" s="1"/>
  <c r="T82" i="122" s="1"/>
  <c r="T133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E39" i="143" l="1"/>
  <c r="B39" i="143"/>
  <c r="S65" i="129"/>
  <c r="S68" i="129" s="1"/>
  <c r="S72" i="129" s="1"/>
  <c r="T75" i="122"/>
  <c r="T78" i="122" s="1"/>
  <c r="I3" i="144" s="1"/>
  <c r="B7" i="144" s="1"/>
  <c r="B8" i="144" s="1"/>
  <c r="T115" i="122"/>
  <c r="T117" i="122" s="1"/>
  <c r="T21" i="122"/>
  <c r="T130" i="122" l="1"/>
  <c r="G33" i="144" s="1"/>
  <c r="T83" i="122"/>
  <c r="T108" i="122"/>
  <c r="T111" i="122" s="1"/>
  <c r="T24" i="122"/>
  <c r="T41" i="122" s="1"/>
  <c r="T43" i="122" s="1"/>
  <c r="T51" i="122" s="1"/>
  <c r="F13" i="110"/>
  <c r="F26" i="135"/>
  <c r="G33" i="142" l="1"/>
  <c r="I3" i="142"/>
  <c r="B7" i="142" s="1"/>
  <c r="B8" i="142" s="1"/>
  <c r="K18" i="120" s="1"/>
  <c r="B37" i="144"/>
  <c r="E38" i="144" s="1"/>
  <c r="B38" i="142"/>
  <c r="B37" i="142"/>
  <c r="E38" i="142" s="1"/>
  <c r="F17" i="120"/>
  <c r="S21" i="134"/>
  <c r="F34" i="78"/>
  <c r="F33" i="78"/>
  <c r="D35" i="135"/>
  <c r="F34" i="135"/>
  <c r="F33" i="135"/>
  <c r="F34" i="139"/>
  <c r="F33" i="139"/>
  <c r="D35" i="139"/>
  <c r="D35" i="78"/>
  <c r="B38" i="144" l="1"/>
  <c r="F15" i="139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9" i="122" l="1"/>
  <c r="R17" i="130" l="1"/>
  <c r="R19" i="130" s="1"/>
  <c r="S138" i="122" s="1"/>
  <c r="S139" i="122"/>
  <c r="Q16" i="130"/>
  <c r="R139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R47" i="129"/>
  <c r="S71" i="133"/>
  <c r="S74" i="133" s="1"/>
  <c r="S78" i="133" s="1"/>
  <c r="S82" i="122" s="1"/>
  <c r="S133" i="122" s="1"/>
  <c r="S40" i="122"/>
  <c r="S124" i="122"/>
  <c r="S127" i="122" s="1"/>
  <c r="R64" i="129"/>
  <c r="R57" i="129"/>
  <c r="S98" i="122"/>
  <c r="S99" i="122" s="1"/>
  <c r="S104" i="122" s="1"/>
  <c r="S30" i="122"/>
  <c r="S72" i="122"/>
  <c r="S74" i="122" s="1"/>
  <c r="S140" i="122"/>
  <c r="F2" i="145" s="1"/>
  <c r="S67" i="122"/>
  <c r="S13" i="122"/>
  <c r="S15" i="122" s="1"/>
  <c r="S44" i="133"/>
  <c r="S46" i="133" s="1"/>
  <c r="S54" i="133" s="1"/>
  <c r="S22" i="122" l="1"/>
  <c r="S21" i="122" s="1"/>
  <c r="S24" i="122" s="1"/>
  <c r="H3" i="150"/>
  <c r="H5" i="150" s="1"/>
  <c r="F34" i="143"/>
  <c r="H3" i="143"/>
  <c r="T171" i="122"/>
  <c r="T187" i="122" s="1"/>
  <c r="T155" i="122"/>
  <c r="T128" i="122"/>
  <c r="T175" i="122"/>
  <c r="T191" i="122" s="1"/>
  <c r="T134" i="122"/>
  <c r="T159" i="122"/>
  <c r="S115" i="122"/>
  <c r="S117" i="122" s="1"/>
  <c r="S108" i="122"/>
  <c r="S111" i="122" s="1"/>
  <c r="R65" i="129"/>
  <c r="R68" i="129" s="1"/>
  <c r="R72" i="129" s="1"/>
  <c r="S75" i="122"/>
  <c r="S78" i="122" s="1"/>
  <c r="S41" i="122"/>
  <c r="S43" i="122" s="1"/>
  <c r="S51" i="122" s="1"/>
  <c r="S79" i="122"/>
  <c r="S79" i="133"/>
  <c r="B44" i="120"/>
  <c r="S130" i="122" l="1"/>
  <c r="F33" i="144" s="1"/>
  <c r="H3" i="144"/>
  <c r="F33" i="142"/>
  <c r="H3" i="142"/>
  <c r="T173" i="122"/>
  <c r="T189" i="122" s="1"/>
  <c r="T153" i="122"/>
  <c r="T112" i="122"/>
  <c r="T169" i="122"/>
  <c r="T185" i="122" s="1"/>
  <c r="S83" i="122"/>
  <c r="T157" i="122" l="1"/>
  <c r="T131" i="122"/>
  <c r="F18" i="87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8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6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9" i="122" s="1"/>
  <c r="S17" i="130" l="1"/>
  <c r="S10" i="130"/>
  <c r="R35" i="134"/>
  <c r="R54" i="134"/>
  <c r="P16" i="130"/>
  <c r="Q139" i="122" s="1"/>
  <c r="J16" i="130"/>
  <c r="K139" i="122" s="1"/>
  <c r="K16" i="130"/>
  <c r="L139" i="122" s="1"/>
  <c r="L16" i="130"/>
  <c r="M139" i="122" s="1"/>
  <c r="M16" i="130"/>
  <c r="N139" i="122" s="1"/>
  <c r="N16" i="130"/>
  <c r="O139" i="122" s="1"/>
  <c r="O16" i="130"/>
  <c r="P139" i="122" s="1"/>
  <c r="S19" i="130" l="1"/>
  <c r="T138" i="122" s="1"/>
  <c r="T140" i="122" s="1"/>
  <c r="G2" i="145" s="1"/>
  <c r="B6" i="145" s="1"/>
  <c r="B7" i="145" s="1"/>
  <c r="S21" i="130"/>
  <c r="S23" i="130" s="1"/>
  <c r="E17" i="130"/>
  <c r="E19" i="130" s="1"/>
  <c r="F139" i="122" s="1"/>
  <c r="Q9" i="130"/>
  <c r="T141" i="122" l="1"/>
  <c r="T161" i="122"/>
  <c r="T177" i="122"/>
  <c r="T193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4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I3" i="150" l="1"/>
  <c r="I5" i="150" s="1"/>
  <c r="T151" i="122"/>
  <c r="T165" i="122"/>
  <c r="T181" i="122" s="1"/>
  <c r="T105" i="122"/>
  <c r="S35" i="134"/>
  <c r="D15" i="110"/>
  <c r="F15" i="110"/>
  <c r="T84" i="120" s="1"/>
  <c r="F16" i="120"/>
  <c r="N10" i="120"/>
  <c r="N12" i="120" s="1"/>
  <c r="H30" i="126"/>
  <c r="G72" i="120"/>
  <c r="I10" i="120"/>
  <c r="G39" i="120"/>
  <c r="G41" i="120" s="1"/>
  <c r="G49" i="120" s="1"/>
  <c r="H72" i="120"/>
  <c r="H75" i="120" s="1"/>
  <c r="H79" i="120" s="1"/>
  <c r="F37" i="135"/>
  <c r="C9" i="150" l="1"/>
  <c r="D9" i="150" s="1"/>
  <c r="C8" i="150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H46" i="120"/>
  <c r="I46" i="120"/>
  <c r="J46" i="120"/>
  <c r="K46" i="120"/>
  <c r="L46" i="120"/>
  <c r="M46" i="120"/>
  <c r="N46" i="120"/>
  <c r="O46" i="120"/>
  <c r="P46" i="120"/>
  <c r="Q46" i="120"/>
  <c r="D8" i="150" l="1"/>
  <c r="D10" i="150" s="1"/>
  <c r="C10" i="150"/>
  <c r="H16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82" i="122"/>
  <c r="M133" i="122" s="1"/>
  <c r="N82" i="122"/>
  <c r="N133" i="122" s="1"/>
  <c r="O82" i="122"/>
  <c r="O133" i="122" s="1"/>
  <c r="P82" i="122"/>
  <c r="P133" i="122" s="1"/>
  <c r="Q82" i="122"/>
  <c r="Q133" i="122" s="1"/>
  <c r="R82" i="122"/>
  <c r="R133" i="122" s="1"/>
  <c r="S175" i="122" s="1"/>
  <c r="S191" i="122" s="1"/>
  <c r="F82" i="122"/>
  <c r="F133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0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5" i="122" l="1"/>
  <c r="R191" i="122" s="1"/>
  <c r="N175" i="122"/>
  <c r="N191" i="122" s="1"/>
  <c r="J175" i="122"/>
  <c r="J191" i="122" s="1"/>
  <c r="O175" i="122"/>
  <c r="O191" i="122" s="1"/>
  <c r="K175" i="122"/>
  <c r="K191" i="122" s="1"/>
  <c r="P175" i="122"/>
  <c r="P191" i="122" s="1"/>
  <c r="L175" i="122"/>
  <c r="L191" i="122" s="1"/>
  <c r="H175" i="122"/>
  <c r="H191" i="122" s="1"/>
  <c r="Q175" i="122"/>
  <c r="Q191" i="122" s="1"/>
  <c r="M175" i="122"/>
  <c r="M191" i="122" s="1"/>
  <c r="I175" i="122"/>
  <c r="I191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4" i="122"/>
  <c r="S159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N72" i="129" s="1"/>
  <c r="R74" i="122"/>
  <c r="I30" i="122"/>
  <c r="N30" i="122"/>
  <c r="G30" i="122"/>
  <c r="R40" i="122"/>
  <c r="J30" i="122"/>
  <c r="P159" i="122"/>
  <c r="H159" i="122"/>
  <c r="Q159" i="122"/>
  <c r="M159" i="122"/>
  <c r="I159" i="122"/>
  <c r="O159" i="122"/>
  <c r="K159" i="122"/>
  <c r="R30" i="122"/>
  <c r="M30" i="122"/>
  <c r="L159" i="122"/>
  <c r="N159" i="122"/>
  <c r="J159" i="122"/>
  <c r="P124" i="122"/>
  <c r="P30" i="122"/>
  <c r="Q30" i="122"/>
  <c r="L30" i="122"/>
  <c r="R159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1" i="122" s="1"/>
  <c r="K187" i="122" s="1"/>
  <c r="O124" i="122"/>
  <c r="K124" i="122"/>
  <c r="G124" i="122"/>
  <c r="Q124" i="122"/>
  <c r="I124" i="122"/>
  <c r="N124" i="122"/>
  <c r="L124" i="122"/>
  <c r="L127" i="122" s="1"/>
  <c r="M171" i="122" s="1"/>
  <c r="M18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M165" i="122" l="1"/>
  <c r="M181" i="122" s="1"/>
  <c r="L104" i="122"/>
  <c r="C198" i="132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231" i="132"/>
  <c r="G166" i="132"/>
  <c r="C282" i="132"/>
  <c r="C249" i="132"/>
  <c r="E249" i="132" s="1"/>
  <c r="E166" i="132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C166" i="132" l="1"/>
  <c r="C167" i="132"/>
  <c r="C113" i="132"/>
  <c r="C114" i="132"/>
  <c r="E124" i="132"/>
  <c r="H8" i="87"/>
  <c r="C171" i="132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C177" i="132" l="1"/>
  <c r="D203" i="132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193" i="132" l="1"/>
  <c r="C196" i="132" s="1"/>
  <c r="C202" i="132" s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8" i="122" s="1"/>
  <c r="G17" i="130"/>
  <c r="G19" i="130" s="1"/>
  <c r="H138" i="122" s="1"/>
  <c r="F17" i="130"/>
  <c r="H16" i="130"/>
  <c r="I139" i="122" s="1"/>
  <c r="G16" i="130"/>
  <c r="H139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N63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65" i="122" s="1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O102" i="129" s="1"/>
  <c r="P79" i="122" s="1"/>
  <c r="Q93" i="129"/>
  <c r="Q92" i="129"/>
  <c r="P99" i="129"/>
  <c r="P93" i="129"/>
  <c r="P91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42" i="129" s="1"/>
  <c r="M22" i="122" s="1"/>
  <c r="L16" i="129"/>
  <c r="K23" i="129"/>
  <c r="K16" i="129"/>
  <c r="J23" i="129"/>
  <c r="J42" i="129" s="1"/>
  <c r="K22" i="122" s="1"/>
  <c r="I23" i="129"/>
  <c r="H23" i="129"/>
  <c r="G23" i="129"/>
  <c r="F23" i="129"/>
  <c r="E23" i="129"/>
  <c r="Q35" i="129"/>
  <c r="Q34" i="129"/>
  <c r="Q31" i="129"/>
  <c r="P31" i="129"/>
  <c r="P18" i="129"/>
  <c r="O33" i="129"/>
  <c r="O18" i="129"/>
  <c r="O20" i="129" s="1"/>
  <c r="O31" i="129"/>
  <c r="N18" i="129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I20" i="129" l="1"/>
  <c r="N20" i="129"/>
  <c r="N102" i="129"/>
  <c r="O79" i="122" s="1"/>
  <c r="G20" i="129"/>
  <c r="G44" i="129" s="1"/>
  <c r="G45" i="129" s="1"/>
  <c r="P42" i="129"/>
  <c r="P20" i="129"/>
  <c r="N115" i="122"/>
  <c r="N117" i="122" s="1"/>
  <c r="N21" i="122"/>
  <c r="K21" i="122"/>
  <c r="K115" i="122"/>
  <c r="K117" i="122" s="1"/>
  <c r="H21" i="122"/>
  <c r="H115" i="122"/>
  <c r="H117" i="122" s="1"/>
  <c r="O21" i="122"/>
  <c r="O115" i="122"/>
  <c r="O117" i="122" s="1"/>
  <c r="J44" i="129"/>
  <c r="E20" i="129"/>
  <c r="F42" i="129"/>
  <c r="G22" i="122" s="1"/>
  <c r="H20" i="129"/>
  <c r="I42" i="129"/>
  <c r="J22" i="122" s="1"/>
  <c r="K20" i="129"/>
  <c r="K44" i="129" s="1"/>
  <c r="K45" i="129" s="1"/>
  <c r="L20" i="129"/>
  <c r="L44" i="129" s="1"/>
  <c r="O42" i="129"/>
  <c r="P22" i="122" s="1"/>
  <c r="P47" i="129"/>
  <c r="Q22" i="122"/>
  <c r="I115" i="122"/>
  <c r="I117" i="122" s="1"/>
  <c r="I21" i="122"/>
  <c r="K47" i="129"/>
  <c r="L22" i="122"/>
  <c r="E42" i="129"/>
  <c r="F22" i="122" s="1"/>
  <c r="F115" i="122" s="1"/>
  <c r="F117" i="122" s="1"/>
  <c r="M44" i="129"/>
  <c r="M21" i="122"/>
  <c r="M115" i="122"/>
  <c r="M117" i="122" s="1"/>
  <c r="R138" i="122"/>
  <c r="R140" i="122" s="1"/>
  <c r="L19" i="130"/>
  <c r="L21" i="130"/>
  <c r="L23" i="130" s="1"/>
  <c r="I140" i="122"/>
  <c r="J177" i="122" s="1"/>
  <c r="J193" i="122" s="1"/>
  <c r="H21" i="130"/>
  <c r="H23" i="130" s="1"/>
  <c r="I19" i="130"/>
  <c r="I21" i="130"/>
  <c r="I23" i="130" s="1"/>
  <c r="M19" i="130"/>
  <c r="M21" i="130"/>
  <c r="M23" i="130" s="1"/>
  <c r="H140" i="122"/>
  <c r="I177" i="122" s="1"/>
  <c r="I193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F3" i="144" s="1"/>
  <c r="M67" i="122"/>
  <c r="H67" i="122"/>
  <c r="R67" i="122"/>
  <c r="R75" i="122" s="1"/>
  <c r="R78" i="122" s="1"/>
  <c r="G3" i="144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H44" i="129"/>
  <c r="H45" i="129" s="1"/>
  <c r="L45" i="129"/>
  <c r="P45" i="129"/>
  <c r="M47" i="129"/>
  <c r="M45" i="129"/>
  <c r="L47" i="129"/>
  <c r="J47" i="129"/>
  <c r="S177" i="122" l="1"/>
  <c r="S193" i="122" s="1"/>
  <c r="E2" i="145"/>
  <c r="P115" i="122"/>
  <c r="P117" i="122" s="1"/>
  <c r="P21" i="122"/>
  <c r="O47" i="129"/>
  <c r="E47" i="129"/>
  <c r="E44" i="129"/>
  <c r="E45" i="129" s="1"/>
  <c r="K138" i="122"/>
  <c r="K140" i="122" s="1"/>
  <c r="P138" i="122"/>
  <c r="P140" i="122" s="1"/>
  <c r="Q138" i="122"/>
  <c r="Q140" i="122" s="1"/>
  <c r="D2" i="145" s="1"/>
  <c r="N138" i="122"/>
  <c r="N140" i="122" s="1"/>
  <c r="O177" i="122" s="1"/>
  <c r="O193" i="122" s="1"/>
  <c r="G21" i="122"/>
  <c r="G115" i="122"/>
  <c r="G117" i="122" s="1"/>
  <c r="O108" i="122"/>
  <c r="O111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B3" i="14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C3" i="142" s="1"/>
  <c r="N24" i="122"/>
  <c r="N41" i="122" s="1"/>
  <c r="N43" i="122" s="1"/>
  <c r="N51" i="122" s="1"/>
  <c r="O44" i="129"/>
  <c r="O45" i="129" s="1"/>
  <c r="O138" i="122"/>
  <c r="O140" i="122" s="1"/>
  <c r="G138" i="122"/>
  <c r="G140" i="122" s="1"/>
  <c r="L138" i="122"/>
  <c r="L140" i="122" s="1"/>
  <c r="M177" i="122" s="1"/>
  <c r="M193" i="122" s="1"/>
  <c r="J138" i="122"/>
  <c r="J140" i="122" s="1"/>
  <c r="M138" i="122"/>
  <c r="M140" i="122" s="1"/>
  <c r="J21" i="122"/>
  <c r="J115" i="122"/>
  <c r="J117" i="122" s="1"/>
  <c r="H108" i="122"/>
  <c r="H111" i="122" s="1"/>
  <c r="H24" i="122"/>
  <c r="H41" i="122" s="1"/>
  <c r="H43" i="122" s="1"/>
  <c r="H51" i="122" s="1"/>
  <c r="S161" i="122"/>
  <c r="S141" i="122"/>
  <c r="I161" i="122"/>
  <c r="I141" i="122"/>
  <c r="R79" i="122"/>
  <c r="R83" i="122" s="1"/>
  <c r="R130" i="122"/>
  <c r="F21" i="122"/>
  <c r="B33" i="142" l="1"/>
  <c r="D3" i="142"/>
  <c r="Q83" i="122"/>
  <c r="O141" i="122"/>
  <c r="M161" i="122"/>
  <c r="S173" i="122"/>
  <c r="S189" i="122" s="1"/>
  <c r="E33" i="144"/>
  <c r="P177" i="122"/>
  <c r="P193" i="122" s="1"/>
  <c r="B2" i="145"/>
  <c r="Q177" i="122"/>
  <c r="Q193" i="122" s="1"/>
  <c r="C2" i="145"/>
  <c r="K177" i="122"/>
  <c r="K193" i="122" s="1"/>
  <c r="J141" i="122"/>
  <c r="J161" i="122"/>
  <c r="L177" i="122"/>
  <c r="L193" i="122" s="1"/>
  <c r="K141" i="122"/>
  <c r="K161" i="122"/>
  <c r="H177" i="122"/>
  <c r="H193" i="122" s="1"/>
  <c r="G141" i="122"/>
  <c r="H141" i="122"/>
  <c r="H161" i="122"/>
  <c r="R177" i="122"/>
  <c r="R193" i="122" s="1"/>
  <c r="Q141" i="122"/>
  <c r="R141" i="122"/>
  <c r="R161" i="122"/>
  <c r="Q161" i="122"/>
  <c r="O169" i="122"/>
  <c r="O185" i="122" s="1"/>
  <c r="N153" i="122"/>
  <c r="N112" i="122"/>
  <c r="I153" i="122"/>
  <c r="I112" i="122"/>
  <c r="J169" i="122"/>
  <c r="J185" i="122" s="1"/>
  <c r="O161" i="122"/>
  <c r="N177" i="122"/>
  <c r="N193" i="122" s="1"/>
  <c r="J14" i="103" s="1"/>
  <c r="Q108" i="122"/>
  <c r="Q111" i="122" s="1"/>
  <c r="Q24" i="122"/>
  <c r="Q41" i="122" s="1"/>
  <c r="Q43" i="122" s="1"/>
  <c r="Q51" i="122" s="1"/>
  <c r="L108" i="122"/>
  <c r="L111" i="122" s="1"/>
  <c r="M112" i="122" s="1"/>
  <c r="L24" i="122"/>
  <c r="L41" i="122" s="1"/>
  <c r="L43" i="122" s="1"/>
  <c r="L51" i="122" s="1"/>
  <c r="P169" i="122"/>
  <c r="P185" i="122" s="1"/>
  <c r="O153" i="122"/>
  <c r="O112" i="122"/>
  <c r="N161" i="122"/>
  <c r="P141" i="122"/>
  <c r="M141" i="122"/>
  <c r="L161" i="122"/>
  <c r="J108" i="122"/>
  <c r="J111" i="122" s="1"/>
  <c r="K153" i="122" s="1"/>
  <c r="J24" i="122"/>
  <c r="J41" i="122" s="1"/>
  <c r="J43" i="122" s="1"/>
  <c r="J51" i="122" s="1"/>
  <c r="N169" i="122"/>
  <c r="N185" i="122" s="1"/>
  <c r="M153" i="122"/>
  <c r="L169" i="122"/>
  <c r="L185" i="122" s="1"/>
  <c r="G108" i="122"/>
  <c r="G111" i="122" s="1"/>
  <c r="H169" i="122" s="1"/>
  <c r="H185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I169" i="122"/>
  <c r="I185" i="122" s="1"/>
  <c r="N141" i="122"/>
  <c r="P161" i="122"/>
  <c r="L141" i="122"/>
  <c r="R21" i="122"/>
  <c r="R115" i="122"/>
  <c r="R117" i="122" s="1"/>
  <c r="S157" i="122"/>
  <c r="S131" i="122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C33" i="142" l="1"/>
  <c r="E3" i="142"/>
  <c r="D33" i="142"/>
  <c r="F3" i="142"/>
  <c r="H112" i="122"/>
  <c r="H153" i="122"/>
  <c r="R169" i="122"/>
  <c r="R185" i="122" s="1"/>
  <c r="Q153" i="122"/>
  <c r="Q112" i="122"/>
  <c r="K169" i="122"/>
  <c r="K185" i="122" s="1"/>
  <c r="J112" i="122"/>
  <c r="J153" i="122"/>
  <c r="P112" i="122"/>
  <c r="P153" i="122"/>
  <c r="Q169" i="122"/>
  <c r="Q185" i="122" s="1"/>
  <c r="K112" i="122"/>
  <c r="M169" i="122"/>
  <c r="M185" i="122" s="1"/>
  <c r="L153" i="122"/>
  <c r="L112" i="122"/>
  <c r="R108" i="122"/>
  <c r="R111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U39" i="91"/>
  <c r="U42" i="91" s="1"/>
  <c r="U31" i="91"/>
  <c r="R125" i="122" s="1"/>
  <c r="E29" i="87"/>
  <c r="K22" i="87" s="1"/>
  <c r="P28" i="120"/>
  <c r="P38" i="120"/>
  <c r="M52" i="120"/>
  <c r="N52" i="120" s="1"/>
  <c r="T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6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P15" i="94"/>
  <c r="P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R39" i="91"/>
  <c r="R42" i="91" s="1"/>
  <c r="T39" i="91"/>
  <c r="T42" i="91" s="1"/>
  <c r="P15" i="91"/>
  <c r="P17" i="91" s="1"/>
  <c r="R15" i="91"/>
  <c r="R17" i="91" s="1"/>
  <c r="T15" i="91"/>
  <c r="T17" i="91" s="1"/>
  <c r="P31" i="91"/>
  <c r="M125" i="122" s="1"/>
  <c r="T31" i="91"/>
  <c r="Q125" i="122" s="1"/>
  <c r="Q127" i="122" s="1"/>
  <c r="N34" i="94"/>
  <c r="K102" i="122" s="1"/>
  <c r="P34" i="94"/>
  <c r="P31" i="94"/>
  <c r="M126" i="122" s="1"/>
  <c r="R34" i="94"/>
  <c r="R31" i="94"/>
  <c r="O126" i="122" s="1"/>
  <c r="O34" i="94"/>
  <c r="O31" i="94"/>
  <c r="O32" i="94"/>
  <c r="S34" i="94"/>
  <c r="T34" i="91"/>
  <c r="P39" i="94"/>
  <c r="T34" i="94"/>
  <c r="M51" i="120"/>
  <c r="N51" i="120" s="1"/>
  <c r="T51" i="120" s="1"/>
  <c r="M17" i="120"/>
  <c r="N17" i="120" s="1"/>
  <c r="P32" i="94"/>
  <c r="P43" i="94" s="1"/>
  <c r="P42" i="94"/>
  <c r="T39" i="94"/>
  <c r="T42" i="94" s="1"/>
  <c r="F10" i="120"/>
  <c r="F29" i="87"/>
  <c r="H28" i="120"/>
  <c r="I75" i="122"/>
  <c r="I78" i="122" s="1"/>
  <c r="H21" i="120"/>
  <c r="O39" i="94"/>
  <c r="O42" i="94" s="1"/>
  <c r="O43" i="94" s="1"/>
  <c r="O45" i="94" s="1"/>
  <c r="R31" i="91" l="1"/>
  <c r="N31" i="91"/>
  <c r="N15" i="94"/>
  <c r="N17" i="94" s="1"/>
  <c r="R101" i="122"/>
  <c r="R104" i="122" s="1"/>
  <c r="Q102" i="122"/>
  <c r="Q15" i="91"/>
  <c r="Q17" i="91" s="1"/>
  <c r="N32" i="94"/>
  <c r="Q101" i="122"/>
  <c r="Q104" i="122" s="1"/>
  <c r="Q31" i="91"/>
  <c r="N15" i="91"/>
  <c r="N17" i="91" s="1"/>
  <c r="Q39" i="91"/>
  <c r="Q42" i="91" s="1"/>
  <c r="M101" i="122"/>
  <c r="M104" i="122" s="1"/>
  <c r="R15" i="94"/>
  <c r="R17" i="94" s="1"/>
  <c r="D34" i="143"/>
  <c r="F3" i="143"/>
  <c r="E33" i="142"/>
  <c r="G3" i="142"/>
  <c r="M127" i="122"/>
  <c r="R127" i="122"/>
  <c r="R155" i="122" s="1"/>
  <c r="P45" i="94"/>
  <c r="P48" i="94" s="1"/>
  <c r="O102" i="122"/>
  <c r="S31" i="91"/>
  <c r="P125" i="122" s="1"/>
  <c r="S15" i="91"/>
  <c r="S17" i="91" s="1"/>
  <c r="O15" i="91"/>
  <c r="O17" i="91" s="1"/>
  <c r="S39" i="91"/>
  <c r="S42" i="91" s="1"/>
  <c r="R102" i="122"/>
  <c r="Q34" i="94"/>
  <c r="Q31" i="94"/>
  <c r="N126" i="122" s="1"/>
  <c r="Q39" i="94"/>
  <c r="Q42" i="94" s="1"/>
  <c r="P32" i="91"/>
  <c r="P43" i="91" s="1"/>
  <c r="P45" i="91" s="1"/>
  <c r="P48" i="91" s="1"/>
  <c r="P53" i="91" s="1"/>
  <c r="N101" i="122"/>
  <c r="S15" i="94"/>
  <c r="S17" i="94" s="1"/>
  <c r="S31" i="94"/>
  <c r="S169" i="122"/>
  <c r="S185" i="122" s="1"/>
  <c r="S153" i="122"/>
  <c r="R153" i="122"/>
  <c r="R112" i="122"/>
  <c r="S112" i="122"/>
  <c r="N43" i="94"/>
  <c r="N45" i="94" s="1"/>
  <c r="N48" i="94" s="1"/>
  <c r="N53" i="94" s="1"/>
  <c r="R171" i="122"/>
  <c r="R187" i="122" s="1"/>
  <c r="O34" i="91"/>
  <c r="O31" i="91"/>
  <c r="O32" i="91" s="1"/>
  <c r="O43" i="91" s="1"/>
  <c r="O45" i="91" s="1"/>
  <c r="R32" i="94"/>
  <c r="R43" i="94" s="1"/>
  <c r="R45" i="94" s="1"/>
  <c r="R48" i="94" s="1"/>
  <c r="R53" i="94" s="1"/>
  <c r="Q15" i="94"/>
  <c r="Q17" i="94" s="1"/>
  <c r="M102" i="122"/>
  <c r="T32" i="91"/>
  <c r="T43" i="91" s="1"/>
  <c r="T45" i="91" s="1"/>
  <c r="T48" i="91" s="1"/>
  <c r="T53" i="91" s="1"/>
  <c r="K101" i="122"/>
  <c r="K104" i="122" s="1"/>
  <c r="O101" i="122"/>
  <c r="R128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30" i="122"/>
  <c r="H83" i="122"/>
  <c r="G130" i="122"/>
  <c r="G83" i="122"/>
  <c r="F130" i="122"/>
  <c r="F83" i="122"/>
  <c r="N130" i="122"/>
  <c r="N83" i="122"/>
  <c r="I130" i="122"/>
  <c r="J173" i="122" s="1"/>
  <c r="J189" i="122" s="1"/>
  <c r="I83" i="122"/>
  <c r="M130" i="122"/>
  <c r="M83" i="122"/>
  <c r="J39" i="91"/>
  <c r="J42" i="91" s="1"/>
  <c r="I126" i="122"/>
  <c r="G126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D33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 s="1"/>
  <c r="P53" i="94"/>
  <c r="T43" i="94"/>
  <c r="T45" i="94" s="1"/>
  <c r="H10" i="120"/>
  <c r="H12" i="120" s="1"/>
  <c r="H38" i="120"/>
  <c r="H39" i="120" s="1"/>
  <c r="I38" i="120"/>
  <c r="S32" i="91"/>
  <c r="S43" i="91" s="1"/>
  <c r="S39" i="94"/>
  <c r="P102" i="122" s="1"/>
  <c r="F3" i="150" l="1"/>
  <c r="F5" i="150" s="1"/>
  <c r="P101" i="122"/>
  <c r="P104" i="122" s="1"/>
  <c r="S171" i="122"/>
  <c r="S187" i="122" s="1"/>
  <c r="N102" i="122"/>
  <c r="N104" i="122" s="1"/>
  <c r="K125" i="122"/>
  <c r="K127" i="122" s="1"/>
  <c r="L155" i="122" s="1"/>
  <c r="N32" i="91"/>
  <c r="N43" i="91" s="1"/>
  <c r="N45" i="91" s="1"/>
  <c r="B5" i="150"/>
  <c r="B3" i="150"/>
  <c r="G3" i="150"/>
  <c r="G5" i="150" s="1"/>
  <c r="O104" i="122"/>
  <c r="N125" i="122"/>
  <c r="N127" i="122" s="1"/>
  <c r="Q32" i="91"/>
  <c r="Q43" i="91" s="1"/>
  <c r="Q45" i="91" s="1"/>
  <c r="O125" i="122"/>
  <c r="O127" i="122" s="1"/>
  <c r="R32" i="91"/>
  <c r="R43" i="91" s="1"/>
  <c r="R45" i="91" s="1"/>
  <c r="R48" i="91" s="1"/>
  <c r="R53" i="91" s="1"/>
  <c r="M155" i="122"/>
  <c r="B3" i="143"/>
  <c r="B34" i="143"/>
  <c r="D3" i="143"/>
  <c r="E34" i="143"/>
  <c r="G3" i="143"/>
  <c r="S151" i="122"/>
  <c r="L128" i="122"/>
  <c r="N171" i="122"/>
  <c r="N187" i="122" s="1"/>
  <c r="M128" i="122"/>
  <c r="S155" i="122"/>
  <c r="K128" i="122"/>
  <c r="L171" i="122"/>
  <c r="L187" i="122" s="1"/>
  <c r="R151" i="122"/>
  <c r="S128" i="122"/>
  <c r="N165" i="122"/>
  <c r="N181" i="122" s="1"/>
  <c r="M151" i="122"/>
  <c r="M105" i="122"/>
  <c r="O48" i="91"/>
  <c r="O53" i="91" s="1"/>
  <c r="R105" i="122"/>
  <c r="S165" i="122"/>
  <c r="S181" i="122" s="1"/>
  <c r="R165" i="122"/>
  <c r="R181" i="122" s="1"/>
  <c r="L165" i="122"/>
  <c r="L181" i="122" s="1"/>
  <c r="L151" i="122"/>
  <c r="L105" i="122"/>
  <c r="P171" i="122"/>
  <c r="P187" i="122" s="1"/>
  <c r="T17" i="120"/>
  <c r="S105" i="122"/>
  <c r="P126" i="122"/>
  <c r="P127" i="122" s="1"/>
  <c r="S32" i="94"/>
  <c r="S45" i="91"/>
  <c r="S48" i="91" s="1"/>
  <c r="S53" i="91" s="1"/>
  <c r="P165" i="122"/>
  <c r="P181" i="122" s="1"/>
  <c r="N173" i="122"/>
  <c r="N189" i="122" s="1"/>
  <c r="O173" i="122"/>
  <c r="O189" i="122" s="1"/>
  <c r="H173" i="122"/>
  <c r="H189" i="122" s="1"/>
  <c r="I173" i="122"/>
  <c r="I189" i="122" s="1"/>
  <c r="R173" i="122"/>
  <c r="R189" i="122" s="1"/>
  <c r="P16" i="120"/>
  <c r="P21" i="120" s="1"/>
  <c r="P39" i="120" s="1"/>
  <c r="G13" i="103"/>
  <c r="G14" i="103" s="1"/>
  <c r="I12" i="103"/>
  <c r="G131" i="122"/>
  <c r="G19" i="103"/>
  <c r="I19" i="103" s="1"/>
  <c r="P11" i="120"/>
  <c r="M43" i="91"/>
  <c r="M45" i="91" s="1"/>
  <c r="M48" i="91" s="1"/>
  <c r="N157" i="122"/>
  <c r="H131" i="122"/>
  <c r="H157" i="122"/>
  <c r="I157" i="122"/>
  <c r="N131" i="122"/>
  <c r="K130" i="122"/>
  <c r="L173" i="122" s="1"/>
  <c r="L189" i="122" s="1"/>
  <c r="K83" i="122"/>
  <c r="I131" i="122"/>
  <c r="G101" i="122"/>
  <c r="F101" i="122"/>
  <c r="F104" i="122" s="1"/>
  <c r="M43" i="94"/>
  <c r="M45" i="94" s="1"/>
  <c r="M48" i="94" s="1"/>
  <c r="M53" i="94" s="1"/>
  <c r="K165" i="122"/>
  <c r="K181" i="122" s="1"/>
  <c r="I127" i="122"/>
  <c r="J171" i="122" s="1"/>
  <c r="J187" i="122" s="1"/>
  <c r="R157" i="122"/>
  <c r="G127" i="122"/>
  <c r="H171" i="122" s="1"/>
  <c r="H187" i="122" s="1"/>
  <c r="H125" i="122"/>
  <c r="H127" i="122" s="1"/>
  <c r="I171" i="122" s="1"/>
  <c r="I187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G28" i="87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D3" i="144" s="1"/>
  <c r="H41" i="120"/>
  <c r="H49" i="120" s="1"/>
  <c r="Q48" i="91"/>
  <c r="Q53" i="91" s="1"/>
  <c r="C3" i="150" l="1"/>
  <c r="C5" i="150" s="1"/>
  <c r="C3" i="143"/>
  <c r="N155" i="122"/>
  <c r="O155" i="122"/>
  <c r="O171" i="122"/>
  <c r="O187" i="122" s="1"/>
  <c r="O128" i="122"/>
  <c r="N128" i="122"/>
  <c r="G104" i="122"/>
  <c r="E3" i="150"/>
  <c r="E5" i="150" s="1"/>
  <c r="I104" i="122"/>
  <c r="N48" i="91"/>
  <c r="N53" i="91" s="1"/>
  <c r="K155" i="122"/>
  <c r="D5" i="150"/>
  <c r="D3" i="150"/>
  <c r="C34" i="143"/>
  <c r="E3" i="143"/>
  <c r="O105" i="122"/>
  <c r="Q151" i="122"/>
  <c r="Q171" i="122"/>
  <c r="Q187" i="122" s="1"/>
  <c r="P155" i="122"/>
  <c r="P128" i="122"/>
  <c r="Q155" i="122"/>
  <c r="Q128" i="122"/>
  <c r="O165" i="122"/>
  <c r="O181" i="122" s="1"/>
  <c r="N151" i="122"/>
  <c r="N105" i="122"/>
  <c r="Q165" i="122"/>
  <c r="Q181" i="122" s="1"/>
  <c r="P151" i="122"/>
  <c r="P105" i="122"/>
  <c r="O151" i="122"/>
  <c r="Q105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5" i="122"/>
  <c r="O130" i="122"/>
  <c r="O83" i="122"/>
  <c r="L130" i="122"/>
  <c r="L83" i="122"/>
  <c r="I165" i="122"/>
  <c r="I181" i="122" s="1"/>
  <c r="J128" i="122"/>
  <c r="I155" i="122"/>
  <c r="K151" i="122"/>
  <c r="G128" i="122"/>
  <c r="H128" i="122"/>
  <c r="H155" i="122"/>
  <c r="J165" i="122"/>
  <c r="J181" i="122" s="1"/>
  <c r="I128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3" i="122" l="1"/>
  <c r="P189" i="122" s="1"/>
  <c r="B33" i="144"/>
  <c r="H165" i="122"/>
  <c r="H181" i="122" s="1"/>
  <c r="L157" i="122"/>
  <c r="M173" i="122"/>
  <c r="M189" i="122" s="1"/>
  <c r="M131" i="122"/>
  <c r="L131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7" i="122"/>
  <c r="P130" i="122"/>
  <c r="C33" i="144" s="1"/>
  <c r="P83" i="122"/>
  <c r="O131" i="122"/>
  <c r="O157" i="122"/>
  <c r="J130" i="122"/>
  <c r="K173" i="122" s="1"/>
  <c r="K189" i="122" s="1"/>
  <c r="J83" i="122"/>
  <c r="H151" i="122"/>
  <c r="I151" i="122"/>
  <c r="J151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7" i="122"/>
  <c r="Q173" i="122"/>
  <c r="Q189" i="122" s="1"/>
  <c r="K59" i="120"/>
  <c r="M58" i="120"/>
  <c r="I43" i="103"/>
  <c r="I46" i="103" s="1"/>
  <c r="I51" i="103" s="1"/>
  <c r="E24" i="103"/>
  <c r="J131" i="122"/>
  <c r="J157" i="122"/>
  <c r="K131" i="122"/>
  <c r="Q157" i="122"/>
  <c r="K157" i="122"/>
  <c r="P131" i="122"/>
  <c r="Q131" i="122"/>
  <c r="G20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85" i="120" s="1"/>
  <c r="T75" i="120"/>
  <c r="U79" i="120" l="1"/>
  <c r="U80" i="120" s="1"/>
  <c r="F14" i="126"/>
  <c r="H14" i="126" s="1"/>
  <c r="H18" i="126" s="1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T54" i="120" l="1"/>
  <c r="N54" i="120"/>
  <c r="F20" i="126" l="1"/>
  <c r="H20" i="126" s="1"/>
  <c r="H22" i="126" s="1"/>
  <c r="T81" i="120"/>
  <c r="T86" i="120"/>
  <c r="T88" i="120" s="1"/>
  <c r="T90" i="120" s="1"/>
  <c r="H24" i="126" l="1"/>
  <c r="H28" i="126" s="1"/>
  <c r="H34" i="126" l="1"/>
  <c r="H32" i="126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<sst xmlns="http://schemas.openxmlformats.org/spreadsheetml/2006/main" count="1991" uniqueCount="777">
  <si>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</si>
  <si>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</si>
  <si>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</si>
  <si>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</si>
  <si>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</si>
  <si>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</si>
  <si>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</si>
  <si>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</si>
  <si>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</si>
  <si>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</si>
  <si>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</si>
  <si>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</si>
  <si>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</si>
  <si>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</si>
  <si>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</si>
  <si>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</si>
  <si>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</si>
  <si>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</si>
  <si>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</si>
  <si>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</si>
  <si>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</si>
  <si>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</si>
  <si>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</si>
  <si>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</si>
  <si>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</si>
  <si>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</si>
  <si>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</si>
  <si>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</si>
  <si>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</si>
  <si>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</si>
  <si>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</si>
  <si>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</si>
  <si>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</si>
  <si>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</si>
  <si>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</si>
  <si>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</si>
  <si>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</si>
  <si>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</si>
  <si>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</si>
  <si>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</si>
  <si>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</si>
  <si>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</si>
  <si>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</si>
  <si>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</si>
  <si>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</si>
  <si>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</si>
  <si>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</si>
  <si>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</si>
  <si>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</si>
  <si>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</si>
  <si>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</si>
  <si>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</si>
  <si>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</si>
  <si>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</si>
  <si>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</si>
  <si>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</si>
  <si>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</si>
  <si>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</si>
  <si>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</si>
  <si>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</si>
  <si>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</si>
  <si>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</si>
  <si>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</si>
  <si>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</si>
  <si>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</si>
  <si>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</si>
  <si>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</si>
  <si>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</si>
  <si>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</si>
  <si>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</si>
  <si>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</si>
  <si>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</si>
  <si>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</si>
  <si>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</si>
  <si>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</si>
  <si>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</si>
  <si>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</si>
  <si>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</si>
  <si>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</si>
  <si>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</si>
  <si>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</si>
  <si>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</si>
  <si>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</si>
  <si>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</si>
  <si>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</si>
  <si>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</si>
  <si>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</si>
  <si>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</si>
  <si>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</si>
  <si>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</si>
  <si>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</si>
  <si>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</si>
  <si>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</si>
  <si>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</si>
  <si>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</si>
  <si>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</si>
  <si>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</si>
  <si>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</si>
  <si>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</si>
  <si>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</si>
  <si>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</si>
  <si>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</si>
  <si>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</si>
  <si>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</si>
  <si>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</si>
  <si>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</si>
  <si>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</si>
  <si>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</si>
  <si>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</si>
  <si>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</si>
  <si>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</si>
  <si>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</si>
  <si>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</si>
  <si>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</si>
  <si>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</si>
  <si>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</si>
  <si>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</si>
  <si>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</si>
  <si>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</si>
  <si>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</si>
  <si>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</si>
  <si>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</si>
  <si>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</si>
  <si>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</si>
  <si>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</si>
  <si>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</si>
  <si>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</si>
  <si>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</si>
  <si>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</si>
  <si>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</si>
  <si>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</si>
  <si>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</si>
  <si>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</si>
  <si>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</si>
  <si>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</si>
  <si>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</si>
  <si>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</si>
  <si>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</si>
  <si>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</si>
  <si>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</si>
  <si>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</si>
  <si>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</si>
  <si>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</si>
  <si>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</si>
  <si>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</si>
  <si>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</si>
  <si>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</si>
  <si>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</si>
  <si>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</si>
  <si>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</si>
  <si>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</si>
  <si>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</si>
  <si>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</si>
  <si>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</si>
  <si>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</si>
  <si>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</si>
  <si>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</si>
  <si>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</si>
  <si>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</si>
  <si>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</si>
  <si>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</si>
  <si>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</si>
  <si>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</si>
  <si>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</si>
  <si>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</si>
  <si>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</si>
  <si>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</si>
  <si>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</si>
  <si>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</si>
  <si>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</si>
  <si>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</si>
  <si>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</si>
  <si>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</si>
  <si>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</si>
  <si>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</si>
  <si>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</si>
  <si>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</si>
  <si>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</si>
  <si>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</si>
  <si>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</si>
  <si>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</si>
  <si>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</si>
  <si>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</si>
  <si>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</si>
  <si>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</si>
  <si>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</si>
  <si>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</si>
  <si>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</si>
  <si>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</si>
  <si>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</si>
  <si>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</si>
  <si>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</si>
  <si>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</si>
  <si>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</si>
  <si>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</si>
  <si>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</si>
  <si>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</si>
  <si>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</si>
  <si>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</si>
  <si>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</si>
  <si>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</si>
  <si>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</si>
  <si>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</si>
  <si>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</si>
  <si>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</si>
  <si>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</si>
  <si>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</si>
  <si>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</si>
  <si>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</si>
  <si>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</si>
  <si>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</si>
  <si>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</si>
  <si>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</si>
  <si>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</si>
  <si>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</si>
  <si>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</si>
  <si>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</si>
  <si>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</si>
  <si>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</si>
  <si>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</si>
  <si>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</si>
  <si>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</si>
  <si>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</si>
  <si>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</si>
  <si>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</si>
  <si>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</si>
  <si>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</si>
  <si>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</si>
  <si>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</si>
  <si>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</si>
  <si>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</si>
  <si>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</si>
  <si>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</si>
  <si>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</si>
  <si>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</si>
  <si>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</si>
  <si>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</si>
  <si>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</si>
  <si>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</si>
  <si>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</si>
  <si>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</si>
  <si>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</si>
  <si>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</si>
  <si>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</si>
  <si>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</si>
  <si>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</si>
  <si>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</si>
  <si>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</si>
  <si>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</si>
  <si>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</si>
  <si>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</si>
  <si>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</si>
  <si>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</si>
  <si>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</si>
  <si>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</si>
  <si>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</si>
  <si>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</si>
  <si>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</si>
  <si>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</si>
  <si>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</si>
  <si>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</si>
  <si>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</si>
  <si>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</si>
  <si>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</si>
  <si>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</si>
  <si>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</si>
  <si>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</si>
  <si>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</si>
  <si>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</si>
  <si>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</si>
  <si>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</si>
  <si>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</si>
  <si>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</si>
  <si>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</si>
  <si>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</si>
  <si>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</si>
  <si>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</si>
  <si>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</si>
  <si>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</si>
  <si>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</si>
  <si>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</si>
  <si>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</si>
  <si>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</si>
  <si>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</si>
  <si>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</si>
  <si>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</si>
  <si>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</si>
  <si>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</si>
  <si>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</si>
  <si>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</si>
  <si>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</si>
  <si>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</si>
  <si>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</si>
  <si>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</si>
  <si>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</si>
  <si>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</si>
  <si>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</si>
  <si>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</si>
  <si>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</si>
  <si>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</si>
  <si>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</si>
  <si>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</si>
  <si>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</si>
  <si>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</si>
  <si>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</si>
  <si>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</si>
  <si>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</si>
  <si>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</si>
  <si>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</si>
  <si>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</si>
  <si>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</si>
  <si>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</si>
  <si>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</si>
  <si>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</si>
  <si>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</si>
  <si>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</si>
  <si>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</si>
  <si>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</si>
  <si>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</si>
  <si>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</si>
  <si>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</si>
  <si>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</si>
  <si>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</si>
  <si>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</si>
  <si>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</si>
  <si>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</si>
  <si>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</si>
  <si>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</si>
  <si>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</si>
  <si>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</si>
  <si>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</si>
  <si>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</si>
  <si>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</si>
  <si>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</si>
  <si>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</si>
  <si>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</si>
  <si>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</si>
  <si>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</si>
  <si>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</si>
  <si>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</si>
  <si>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</si>
  <si>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</si>
  <si>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</si>
  <si>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</si>
  <si>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</si>
  <si>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</si>
  <si>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</si>
  <si>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</si>
  <si>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</si>
  <si>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</si>
  <si>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</si>
  <si>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</si>
  <si>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</si>
  <si>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</si>
  <si>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</si>
  <si>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</si>
  <si>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</si>
  <si>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</si>
  <si>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</si>
  <si>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</si>
  <si>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</si>
  <si>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</si>
  <si>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</si>
  <si>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</si>
  <si>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</si>
  <si>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</si>
  <si>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</si>
  <si>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</si>
  <si>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</si>
  <si>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</si>
  <si>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</si>
  <si>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</si>
  <si>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</si>
  <si>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</si>
  <si>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</si>
  <si>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</si>
  <si>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</si>
  <si>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</si>
  <si>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</si>
  <si>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</si>
  <si>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</si>
  <si>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</si>
  <si>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</si>
  <si>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</si>
  <si>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</si>
  <si>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</si>
  <si>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</si>
  <si>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</si>
  <si>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</si>
  <si>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</si>
  <si>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</si>
  <si>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</si>
  <si>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</si>
  <si>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</si>
  <si>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</si>
  <si>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</si>
  <si>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</si>
  <si>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</si>
  <si>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</si>
  <si>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</si>
  <si>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</si>
  <si>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</si>
  <si>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</si>
  <si>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</si>
  <si>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</si>
  <si>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</si>
  <si>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</si>
  <si>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</si>
  <si>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</si>
  <si>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</si>
  <si>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</si>
  <si>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</si>
  <si>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</si>
  <si>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</si>
  <si>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</si>
  <si>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</si>
  <si>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</si>
  <si>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</si>
  <si>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</si>
  <si>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</si>
  <si>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</si>
  <si>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</si>
  <si>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</si>
  <si>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</si>
  <si>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</si>
  <si>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</si>
  <si>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</si>
  <si>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</si>
  <si>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</si>
  <si>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</si>
  <si>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</si>
  <si>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</si>
  <si>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</si>
  <si>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</si>
  <si>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</si>
  <si>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</si>
  <si>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</si>
  <si>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</si>
  <si>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</si>
  <si>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</si>
  <si>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</si>
  <si>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</si>
  <si>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</si>
  <si>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</si>
  <si>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</si>
  <si>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</si>
  <si>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</si>
  <si>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</si>
  <si>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</si>
  <si>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</si>
  <si>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</si>
  <si>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</si>
  <si>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</si>
  <si>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</si>
  <si>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</si>
  <si>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</si>
  <si>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</si>
  <si>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</si>
  <si>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</si>
  <si>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</si>
  <si>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</si>
  <si>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</si>
  <si>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</si>
  <si>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</si>
  <si>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</si>
  <si>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</si>
  <si>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</si>
  <si>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</si>
  <si>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</si>
  <si>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</si>
  <si>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</si>
  <si>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</si>
  <si>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</si>
  <si>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</si>
  <si>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</si>
  <si>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</si>
  <si>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</si>
  <si>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</si>
  <si>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</si>
  <si>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</si>
  <si>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</si>
  <si>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</si>
  <si>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</si>
  <si>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</si>
  <si>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</si>
  <si>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</si>
  <si>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</si>
  <si>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</si>
  <si>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</si>
  <si>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</si>
  <si>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</si>
  <si>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</si>
  <si>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</si>
  <si>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</si>
  <si>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</si>
  <si>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</si>
  <si>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</si>
  <si>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</si>
  <si>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</si>
  <si>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</si>
  <si>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</si>
  <si>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</si>
  <si>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</si>
  <si>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</si>
  <si>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</si>
  <si>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</si>
  <si>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</si>
  <si>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</si>
  <si>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</si>
  <si>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</si>
  <si>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</si>
  <si>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</si>
  <si>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</si>
  <si>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</si>
  <si>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</si>
  <si>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</si>
  <si>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</si>
  <si>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</si>
  <si>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</si>
  <si>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</si>
  <si>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</si>
  <si>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</si>
  <si>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</si>
  <si>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</si>
  <si>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</si>
  <si>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</si>
  <si>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</si>
  <si>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</si>
  <si>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</si>
  <si>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</si>
  <si>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</si>
  <si>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</si>
  <si>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</si>
  <si>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</si>
  <si>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</si>
  <si>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</si>
  <si>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</si>
  <si>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</si>
  <si>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</si>
  <si>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</si>
  <si>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</si>
  <si>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</si>
  <si>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</si>
  <si>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</si>
  <si>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</si>
  <si>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</si>
  <si>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</si>
  <si>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</si>
  <si>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</si>
  <si>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</si>
  <si>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</si>
  <si>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</si>
  <si>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</si>
  <si>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</si>
  <si>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</si>
  <si>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</si>
  <si>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</si>
  <si>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</si>
  <si>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</si>
  <si>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</si>
  <si>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</si>
  <si>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</si>
  <si>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</si>
  <si>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</si>
  <si>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</si>
  <si>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</si>
  <si>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</si>
  <si>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</si>
  <si>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</si>
  <si>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</si>
  <si>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</si>
  <si>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</si>
  <si>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</si>
  <si>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</si>
  <si>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</si>
  <si>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</si>
  <si>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</si>
  <si>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</si>
  <si>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</si>
  <si>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</si>
  <si>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</si>
  <si>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</si>
  <si>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</si>
  <si>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</si>
  <si>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</si>
  <si>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</si>
  <si>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</si>
  <si>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</si>
  <si>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</si>
  <si>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</si>
  <si>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</si>
  <si>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</si>
  <si>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</si>
  <si>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</si>
  <si>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</si>
  <si>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</si>
  <si>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</si>
  <si>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</si>
  <si>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</si>
  <si>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</si>
  <si>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</si>
  <si>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</si>
  <si>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</si>
  <si>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</si>
  <si>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</si>
  <si>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</si>
  <si>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</si>
  <si>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</si>
  <si>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</si>
  <si>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</si>
  <si>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</si>
  <si>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</si>
  <si>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</si>
  <si>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</si>
  <si>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</si>
  <si>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</si>
  <si>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</si>
  <si>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</si>
  <si>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</si>
  <si>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</si>
  <si>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</si>
  <si>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</si>
  <si>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</si>
  <si>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</si>
  <si>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</si>
  <si>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</si>
  <si>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</si>
  <si>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</si>
  <si>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</si>
  <si>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</si>
  <si>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</si>
  <si>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</si>
  <si>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</si>
  <si>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</si>
  <si>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</si>
  <si>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</si>
  <si>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</si>
  <si>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</si>
  <si>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</si>
  <si>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</si>
  <si>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</si>
  <si>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</si>
  <si>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</si>
  <si>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</si>
  <si>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</si>
  <si>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</si>
  <si>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</si>
  <si>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</si>
  <si>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</si>
  <si>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</si>
  <si>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</si>
  <si>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</si>
  <si>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</si>
  <si>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</si>
  <si>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</si>
  <si>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</si>
  <si>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</si>
  <si>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</si>
  <si>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</si>
  <si>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</si>
  <si>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</si>
  <si>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</si>
  <si>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</si>
  <si>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</si>
  <si>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</si>
  <si>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</si>
  <si>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</si>
  <si>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</si>
  <si>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</si>
  <si>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</si>
  <si>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</si>
  <si>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</si>
  <si>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</si>
  <si>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</si>
  <si>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</si>
  <si>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</si>
  <si>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</si>
  <si>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</si>
  <si>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</si>
  <si>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</si>
  <si>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</si>
  <si>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</si>
  <si>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</si>
  <si>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</si>
  <si>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</si>
  <si>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</si>
  <si>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</si>
  <si>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</si>
  <si>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</si>
  <si>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</si>
  <si>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</si>
  <si>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</si>
  <si>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</si>
  <si>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</si>
  <si>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</si>
  <si>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</si>
  <si>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</si>
  <si>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</si>
  <si>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</si>
  <si>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</si>
  <si>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</si>
  <si>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</si>
  <si>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</si>
  <si>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</si>
  <si>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</si>
  <si>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</si>
  <si>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</si>
  <si>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</si>
  <si>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</si>
  <si>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</si>
  <si>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</si>
  <si>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</si>
  <si>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</si>
  <si>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</si>
  <si>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</si>
  <si>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</si>
  <si>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Deferred Debit/Credit &amp; Reg. Amorts Adjs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</si>
  <si>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</si>
  <si>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</si>
  <si>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</si>
  <si>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</si>
  <si>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</si>
  <si>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</si>
  <si>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</si>
  <si>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Net Operating Income (at 2015 rates)</t>
  </si>
  <si>
    <t>Attrition-based 2016 revenue requirement</t>
  </si>
  <si>
    <t>Percent Revenue Requirement Change (vs. 2015)</t>
  </si>
  <si>
    <t>Attrition Study Results</t>
  </si>
  <si>
    <t>2016 Total General Business Revenues (at 2015 rates)</t>
  </si>
  <si>
    <t>2016 Rate Base</t>
  </si>
  <si>
    <t>[L]</t>
  </si>
  <si>
    <t>[M]</t>
  </si>
  <si>
    <t>McGuire Number</t>
  </si>
  <si>
    <t>Per CBR</t>
  </si>
  <si>
    <t xml:space="preserve">Updated </t>
  </si>
  <si>
    <t>Pro Forma</t>
  </si>
  <si>
    <t>AS PROPOSED BY STAFF:</t>
  </si>
  <si>
    <t xml:space="preserve">Remove volatility of total Benefits </t>
  </si>
  <si>
    <t>Rate (1 yr)</t>
  </si>
  <si>
    <t>2007-2014 (exl. Benefits)</t>
  </si>
  <si>
    <t>2013-2014 (exl. Benefits)</t>
  </si>
  <si>
    <t>Avista Proposed Based on Staff Methodology for 2007-2014:</t>
  </si>
  <si>
    <t>AS PROPOSED BY STAFF PER CRM-2:</t>
  </si>
  <si>
    <t>Avista Proposed-partly based on Staff Methodology (Linear regression and averaging):</t>
  </si>
  <si>
    <t>Company-proposed (2007-2014, linear)</t>
  </si>
  <si>
    <t xml:space="preserve">2016 Attrition Revenue Deficiency </t>
  </si>
  <si>
    <t>After Attrition Adj - Colstrip Refund Correction</t>
  </si>
  <si>
    <t>Total Adjusted Operating Expenses</t>
  </si>
  <si>
    <t>Edited from Staff Filed Attrition Study Exhibit No. _(CRM-2)</t>
  </si>
  <si>
    <t>AVISTA REBUTTAL</t>
  </si>
  <si>
    <t>2016 WASHINGTON ELECTRIC ATTRITION STUDY</t>
  </si>
  <si>
    <r>
      <t>12.2014 Commission Basis Report Restated Totals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</si>
  <si>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Workpapers for 12.2014 Commission Basis Reports provided with Avista's Response to Staff_DR_130 Revised.</t>
    </r>
  </si>
  <si>
    <r>
      <t>2016 Revenue and Cost</t>
    </r>
    <r>
      <rPr>
        <sz val="10"/>
        <rFont val="Times New Roman"/>
        <family val="1"/>
      </rPr>
      <t xml:space="preserve"> [H]+[I]+[J]+[K]+   [L] = [M]</t>
    </r>
  </si>
  <si>
    <t xml:space="preserve">The grey highlighted areas on pages 4 and 5 represent changes Avista made to Staff Witness Mr. McGuire's Electric Attrition model. For example, corrections to Staff's model were made in columns [C], [L] and [M].  Avista proposed growth escalations were used in column [F] page 4 &amp; 5 (rows 9, 11 and 32) to reflect Staff's linear regression calculation, however, using years 2007-2014 data. These calculations can be seen on page 9-11. Column [F] page 4 (row 7), includes Avista's proposed O&amp;M escalation as calculated on page 12. The Company has removed Staff's After Attrition Adjustment related to Coyote Springs II/Colstrip normalized maintenance, as the Company is proposing to defer the "hours-based" major maintenance projects in 2016 forward, with amortization to occur in the following year. Avista has added column [K] After Attrition Adjustment Colstrip Refund Correction to remove a non-reoccurring item. Lastly, in column [L], the Company has included total Project Compass costs, rather than the discounted balances proposed by Staff.    </t>
  </si>
  <si>
    <t>Still needs Power Supply update</t>
  </si>
  <si>
    <t>Order 05</t>
  </si>
  <si>
    <t>rate</t>
  </si>
  <si>
    <t>escalation</t>
  </si>
  <si>
    <t>Net Plant (rate)</t>
  </si>
  <si>
    <t>Net Plant after DFIT (rate)</t>
  </si>
  <si>
    <t>Distribution Net Plant</t>
  </si>
  <si>
    <t>Dist Net Plant after DFIT</t>
  </si>
  <si>
    <t>Adjusted Net Plant after DFIT</t>
  </si>
  <si>
    <t>(chart below)</t>
  </si>
  <si>
    <t>(from "Net Plant" tab)</t>
  </si>
  <si>
    <t>Ratio</t>
  </si>
  <si>
    <t>(to adjust distribution Net Plant with an estimate for distribution DFIT)</t>
  </si>
  <si>
    <t>(second chart below)</t>
  </si>
  <si>
    <t>(after estimated DFIT)</t>
  </si>
  <si>
    <t>(Total, after removal of distribution net plant after DFIT)</t>
  </si>
  <si>
    <t>annual 000</t>
  </si>
  <si>
    <t>(from "remove dist" tab)</t>
  </si>
  <si>
    <t>Column</t>
  </si>
  <si>
    <t>Cleared</t>
  </si>
  <si>
    <t>THERE ARE HIDDEN WORKSHEETS IN THIS WORKBOOK</t>
  </si>
  <si>
    <t>To reveal underlying worksheets, please right click any tab, then click 'unhide,' and open the worksheet of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</si>
</sst>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rgb="FFFF0000"/>
      <name val="Arial"/>
      <family val="2"/>
    </font>
    <font>
      <i/>
      <sz val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57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69" fillId="0" borderId="0"/>
    <xf numFmtId="0" fontId="69" fillId="0" borderId="0"/>
    <xf numFmtId="0" fontId="19" fillId="0" borderId="0">
      <alignment readingOrder="1"/>
    </xf>
    <xf numFmtId="0" fontId="69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2" fillId="0" borderId="0"/>
    <xf numFmtId="3" fontId="72" fillId="0" borderId="0"/>
    <xf numFmtId="0" fontId="1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30" applyNumberFormat="0" applyAlignment="0" applyProtection="0"/>
    <xf numFmtId="0" fontId="106" fillId="14" borderId="31" applyNumberFormat="0" applyAlignment="0" applyProtection="0"/>
    <xf numFmtId="0" fontId="107" fillId="14" borderId="30" applyNumberFormat="0" applyAlignment="0" applyProtection="0"/>
    <xf numFmtId="0" fontId="108" fillId="0" borderId="32" applyNumberFormat="0" applyFill="0" applyAlignment="0" applyProtection="0"/>
    <xf numFmtId="0" fontId="109" fillId="15" borderId="3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3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4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6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72" fillId="0" borderId="0"/>
    <xf numFmtId="0" fontId="72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0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43" borderId="0">
      <alignment horizontal="right"/>
    </xf>
    <xf numFmtId="0" fontId="123" fillId="43" borderId="36"/>
    <xf numFmtId="44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25" fillId="44" borderId="0">
      <alignment horizontal="left"/>
    </xf>
    <xf numFmtId="0" fontId="126" fillId="44" borderId="0">
      <alignment horizontal="right"/>
    </xf>
    <xf numFmtId="0" fontId="126" fillId="44" borderId="0">
      <alignment horizontal="center"/>
    </xf>
    <xf numFmtId="0" fontId="126" fillId="44" borderId="0">
      <alignment horizontal="right"/>
    </xf>
    <xf numFmtId="0" fontId="127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44" borderId="0">
      <alignment horizontal="left"/>
    </xf>
    <xf numFmtId="0" fontId="125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5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5" fillId="44" borderId="0">
      <alignment horizontal="center"/>
    </xf>
    <xf numFmtId="49" fontId="129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Continuous"/>
    </xf>
    <xf numFmtId="0" fontId="130" fillId="44" borderId="0">
      <alignment horizontal="left"/>
    </xf>
    <xf numFmtId="49" fontId="130" fillId="44" borderId="0">
      <alignment horizontal="center"/>
    </xf>
    <xf numFmtId="0" fontId="125" fillId="44" borderId="0">
      <alignment horizontal="left"/>
    </xf>
    <xf numFmtId="49" fontId="130" fillId="44" borderId="0">
      <alignment horizontal="left"/>
    </xf>
    <xf numFmtId="0" fontId="125" fillId="44" borderId="0">
      <alignment horizontal="centerContinuous"/>
    </xf>
    <xf numFmtId="0" fontId="125" fillId="44" borderId="0">
      <alignment horizontal="right"/>
    </xf>
    <xf numFmtId="49" fontId="125" fillId="44" borderId="0">
      <alignment horizontal="left"/>
    </xf>
    <xf numFmtId="0" fontId="126" fillId="44" borderId="0">
      <alignment horizontal="right"/>
    </xf>
    <xf numFmtId="0" fontId="130" fillId="45" borderId="0">
      <alignment horizontal="center"/>
    </xf>
    <xf numFmtId="0" fontId="131" fillId="45" borderId="0">
      <alignment horizontal="center"/>
    </xf>
    <xf numFmtId="0" fontId="132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2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56" borderId="0" applyNumberFormat="0" applyBorder="0" applyAlignment="0" applyProtection="0"/>
    <xf numFmtId="0" fontId="133" fillId="56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33" fillId="5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54" borderId="0" applyNumberFormat="0" applyBorder="0" applyAlignment="0" applyProtection="0"/>
    <xf numFmtId="0" fontId="133" fillId="54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33" fillId="58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59" borderId="0" applyNumberFormat="0" applyBorder="0" applyAlignment="0" applyProtection="0"/>
    <xf numFmtId="0" fontId="133" fillId="5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60" borderId="0" applyNumberFormat="0" applyBorder="0" applyAlignment="0" applyProtection="0"/>
    <xf numFmtId="0" fontId="133" fillId="6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61" borderId="0" applyNumberFormat="0" applyBorder="0" applyAlignment="0" applyProtection="0"/>
    <xf numFmtId="0" fontId="133" fillId="61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62" borderId="0" applyNumberFormat="0" applyBorder="0" applyAlignment="0" applyProtection="0"/>
    <xf numFmtId="0" fontId="133" fillId="62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33" fillId="58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33" fillId="63" borderId="0" applyNumberFormat="0" applyBorder="0" applyAlignment="0" applyProtection="0"/>
    <xf numFmtId="189" fontId="134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35" fillId="11" borderId="0" applyNumberFormat="0" applyBorder="0" applyAlignment="0" applyProtection="0"/>
    <xf numFmtId="0" fontId="136" fillId="47" borderId="0" applyNumberFormat="0" applyBorder="0" applyAlignment="0" applyProtection="0"/>
    <xf numFmtId="0" fontId="38" fillId="0" borderId="0" applyFill="0" applyBorder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65" borderId="30" applyNumberFormat="0" applyAlignment="0" applyProtection="0"/>
    <xf numFmtId="0" fontId="137" fillId="65" borderId="38" applyNumberFormat="0" applyAlignment="0" applyProtection="0"/>
    <xf numFmtId="0" fontId="138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 vertical="center"/>
    </xf>
    <xf numFmtId="0" fontId="109" fillId="15" borderId="33" applyNumberFormat="0" applyAlignment="0" applyProtection="0"/>
    <xf numFmtId="0" fontId="109" fillId="15" borderId="33" applyNumberFormat="0" applyAlignment="0" applyProtection="0"/>
    <xf numFmtId="0" fontId="109" fillId="15" borderId="33" applyNumberFormat="0" applyAlignment="0" applyProtection="0"/>
    <xf numFmtId="0" fontId="139" fillId="66" borderId="39" applyNumberFormat="0" applyAlignment="0" applyProtection="0"/>
    <xf numFmtId="0" fontId="140" fillId="0" borderId="13">
      <alignment horizontal="center"/>
    </xf>
    <xf numFmtId="190" fontId="141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2" fillId="0" borderId="0" applyFont="0" applyFill="0" applyBorder="0" applyAlignment="0" applyProtection="0"/>
    <xf numFmtId="19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5" fillId="0" borderId="0" applyFill="0" applyBorder="0" applyAlignment="0" applyProtection="0"/>
    <xf numFmtId="0" fontId="117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196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198" fontId="1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6" fillId="0" borderId="0" applyFont="0" applyFill="0" applyBorder="0" applyAlignment="0" applyProtection="0"/>
    <xf numFmtId="189" fontId="147" fillId="0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00" fontId="149" fillId="0" borderId="0"/>
    <xf numFmtId="201" fontId="149" fillId="0" borderId="0"/>
    <xf numFmtId="166" fontId="149" fillId="0" borderId="0"/>
    <xf numFmtId="201" fontId="149" fillId="0" borderId="0"/>
    <xf numFmtId="202" fontId="149" fillId="0" borderId="0"/>
    <xf numFmtId="202" fontId="149" fillId="0" borderId="0"/>
    <xf numFmtId="200" fontId="149" fillId="0" borderId="0"/>
    <xf numFmtId="203" fontId="149" fillId="0" borderId="0"/>
    <xf numFmtId="204" fontId="149" fillId="0" borderId="0"/>
    <xf numFmtId="205" fontId="149" fillId="0" borderId="0"/>
    <xf numFmtId="206" fontId="149" fillId="0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50" fillId="48" borderId="0" applyNumberFormat="0" applyBorder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151" fillId="0" borderId="40" applyNumberFormat="0" applyFill="0" applyAlignment="0" applyProtection="0"/>
    <xf numFmtId="0" fontId="152" fillId="0" borderId="40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3" fillId="0" borderId="28" applyNumberFormat="0" applyFill="0" applyAlignment="0" applyProtection="0"/>
    <xf numFmtId="0" fontId="154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5" fillId="0" borderId="42" applyNumberFormat="0" applyFill="0" applyAlignment="0" applyProtection="0"/>
    <xf numFmtId="0" fontId="156" fillId="0" borderId="4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7" fillId="43" borderId="0" applyNumberFormat="0" applyBorder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58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59" fillId="0" borderId="43" applyNumberFormat="0" applyFill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60" fillId="67" borderId="0" applyNumberFormat="0" applyBorder="0" applyAlignment="0" applyProtection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0" fontId="19" fillId="0" borderId="0"/>
    <xf numFmtId="0" fontId="62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189" fontId="72" fillId="0" borderId="0"/>
    <xf numFmtId="189" fontId="72" fillId="0" borderId="0"/>
    <xf numFmtId="0" fontId="62" fillId="0" borderId="0">
      <alignment vertical="top"/>
    </xf>
    <xf numFmtId="189" fontId="72" fillId="0" borderId="0"/>
    <xf numFmtId="189" fontId="72" fillId="0" borderId="0"/>
    <xf numFmtId="0" fontId="19" fillId="0" borderId="0"/>
    <xf numFmtId="0" fontId="3" fillId="0" borderId="0"/>
    <xf numFmtId="0" fontId="72" fillId="0" borderId="0"/>
    <xf numFmtId="0" fontId="62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65" borderId="31" applyNumberFormat="0" applyAlignment="0" applyProtection="0"/>
    <xf numFmtId="0" fontId="162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2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2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2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2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4" fillId="64" borderId="0" applyNumberFormat="0" applyBorder="0" applyAlignment="0" applyProtection="0"/>
    <xf numFmtId="0" fontId="163" fillId="0" borderId="0">
      <alignment horizontal="right"/>
    </xf>
    <xf numFmtId="0" fontId="164" fillId="0" borderId="0">
      <alignment horizontal="right"/>
    </xf>
    <xf numFmtId="0" fontId="149" fillId="0" borderId="0"/>
    <xf numFmtId="0" fontId="165" fillId="0" borderId="0" applyNumberFormat="0" applyBorder="0" applyAlignment="0"/>
    <xf numFmtId="0" fontId="165" fillId="0" borderId="0" applyNumberFormat="0" applyBorder="0" applyAlignment="0"/>
    <xf numFmtId="0" fontId="62" fillId="0" borderId="0" applyNumberFormat="0" applyBorder="0" applyAlignment="0"/>
    <xf numFmtId="189" fontId="62" fillId="0" borderId="0" applyNumberFormat="0" applyBorder="0" applyAlignment="0"/>
    <xf numFmtId="0" fontId="149" fillId="0" borderId="0"/>
    <xf numFmtId="189" fontId="62" fillId="0" borderId="0" applyNumberFormat="0" applyBorder="0" applyAlignment="0"/>
    <xf numFmtId="0" fontId="166" fillId="0" borderId="0"/>
    <xf numFmtId="0" fontId="167" fillId="0" borderId="0" applyNumberFormat="0" applyBorder="0" applyAlignment="0"/>
    <xf numFmtId="0" fontId="167" fillId="0" borderId="0" applyNumberFormat="0" applyBorder="0" applyAlignment="0"/>
    <xf numFmtId="0" fontId="166" fillId="0" borderId="0"/>
    <xf numFmtId="0" fontId="168" fillId="0" borderId="0"/>
    <xf numFmtId="189" fontId="169" fillId="0" borderId="0"/>
    <xf numFmtId="0" fontId="170" fillId="0" borderId="0"/>
    <xf numFmtId="0" fontId="171" fillId="0" borderId="0" applyNumberFormat="0" applyBorder="0" applyAlignment="0"/>
    <xf numFmtId="0" fontId="171" fillId="0" borderId="0" applyNumberFormat="0" applyBorder="0" applyAlignment="0"/>
    <xf numFmtId="0" fontId="170" fillId="0" borderId="0"/>
    <xf numFmtId="0" fontId="172" fillId="0" borderId="0" applyNumberFormat="0" applyBorder="0" applyAlignment="0"/>
    <xf numFmtId="0" fontId="173" fillId="0" borderId="0"/>
    <xf numFmtId="189" fontId="174" fillId="0" borderId="0"/>
    <xf numFmtId="0" fontId="175" fillId="0" borderId="0"/>
    <xf numFmtId="0" fontId="171" fillId="69" borderId="0" applyNumberFormat="0" applyBorder="0" applyAlignment="0"/>
    <xf numFmtId="0" fontId="176" fillId="0" borderId="0"/>
    <xf numFmtId="0" fontId="177" fillId="0" borderId="0"/>
    <xf numFmtId="0" fontId="178" fillId="0" borderId="0"/>
    <xf numFmtId="0" fontId="177" fillId="70" borderId="0"/>
    <xf numFmtId="0" fontId="98" fillId="0" borderId="0" applyNumberFormat="0" applyFill="0" applyBorder="0" applyAlignment="0" applyProtection="0"/>
    <xf numFmtId="0" fontId="179" fillId="71" borderId="46" applyNumberFormat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71" borderId="47">
      <alignment horizontal="left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1" fillId="0" borderId="29" applyNumberFormat="0" applyFill="0" applyAlignment="0" applyProtection="0"/>
    <xf numFmtId="0" fontId="7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0" fontId="19" fillId="68" borderId="44" applyNumberFormat="0" applyFont="0" applyAlignment="0" applyProtection="0"/>
    <xf numFmtId="9" fontId="72" fillId="0" borderId="0" applyFont="0" applyFill="0" applyBorder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9" fillId="68" borderId="44" applyNumberFormat="0" applyFon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72" fillId="0" borderId="0" applyFont="0" applyFill="0" applyBorder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9" fontId="72" fillId="0" borderId="0" applyFont="0" applyFill="0" applyBorder="0" applyAlignment="0" applyProtection="0"/>
    <xf numFmtId="0" fontId="162" fillId="65" borderId="45" applyNumberForma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2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7" fillId="65" borderId="38" applyNumberFormat="0" applyAlignment="0" applyProtection="0"/>
    <xf numFmtId="0" fontId="182" fillId="0" borderId="48" applyNumberFormat="0" applyFill="0" applyAlignment="0" applyProtection="0"/>
    <xf numFmtId="0" fontId="182" fillId="0" borderId="48" applyNumberFormat="0" applyFill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62" fillId="65" borderId="45" applyNumberFormat="0" applyAlignment="0" applyProtection="0"/>
    <xf numFmtId="0" fontId="182" fillId="0" borderId="48" applyNumberFormat="0" applyFill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39" fontId="184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5" fillId="0" borderId="0"/>
    <xf numFmtId="44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2" fillId="0" borderId="0"/>
    <xf numFmtId="0" fontId="3" fillId="0" borderId="0"/>
    <xf numFmtId="10" fontId="5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9" fillId="0" borderId="0"/>
    <xf numFmtId="0" fontId="19" fillId="0" borderId="0"/>
    <xf numFmtId="43" fontId="1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9" fillId="0" borderId="0"/>
    <xf numFmtId="0" fontId="2" fillId="0" borderId="0"/>
    <xf numFmtId="0" fontId="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6" fillId="0" borderId="0" applyFont="0" applyFill="0" applyBorder="0" applyAlignment="0" applyProtection="0"/>
    <xf numFmtId="0" fontId="1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227" fontId="64" fillId="44" borderId="0" applyBorder="0">
      <alignment horizontal="right"/>
    </xf>
    <xf numFmtId="0" fontId="189" fillId="73" borderId="0" applyBorder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7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69" fillId="0" borderId="0" xfId="34"/>
    <xf numFmtId="0" fontId="43" fillId="0" borderId="0" xfId="34" applyFont="1"/>
    <xf numFmtId="0" fontId="43" fillId="0" borderId="0" xfId="34" applyFont="1" applyFill="1"/>
    <xf numFmtId="0" fontId="69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2" fillId="0" borderId="0" xfId="36"/>
    <xf numFmtId="0" fontId="72" fillId="0" borderId="1" xfId="36" applyBorder="1" applyAlignment="1">
      <alignment horizontal="centerContinuous"/>
    </xf>
    <xf numFmtId="0" fontId="72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2" fillId="0" borderId="0" xfId="36" applyNumberFormat="1"/>
    <xf numFmtId="3" fontId="72" fillId="0" borderId="0" xfId="36" applyNumberFormat="1"/>
    <xf numFmtId="3" fontId="72" fillId="0" borderId="1" xfId="36" applyNumberFormat="1" applyBorder="1"/>
    <xf numFmtId="3" fontId="72" fillId="0" borderId="2" xfId="36" applyNumberFormat="1" applyBorder="1"/>
    <xf numFmtId="0" fontId="72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2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69" fillId="4" borderId="0" xfId="34" applyFill="1"/>
    <xf numFmtId="10" fontId="69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69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69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69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69" fillId="0" borderId="0" xfId="19"/>
    <xf numFmtId="0" fontId="15" fillId="0" borderId="0" xfId="34" applyFont="1"/>
    <xf numFmtId="166" fontId="58" fillId="0" borderId="0" xfId="1" applyNumberFormat="1" applyFont="1"/>
    <xf numFmtId="0" fontId="69" fillId="0" borderId="0" xfId="34" applyAlignment="1">
      <alignment horizontal="center"/>
    </xf>
    <xf numFmtId="10" fontId="58" fillId="0" borderId="0" xfId="42" applyNumberFormat="1" applyFont="1"/>
    <xf numFmtId="10" fontId="69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2" fillId="0" borderId="0" xfId="36" applyFill="1"/>
    <xf numFmtId="166" fontId="62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3" fontId="34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4" fillId="0" borderId="0" xfId="34" applyFont="1"/>
    <xf numFmtId="0" fontId="64" fillId="0" borderId="0" xfId="34" applyFont="1" applyFill="1" applyBorder="1" applyAlignment="1">
      <alignment horizontal="center"/>
    </xf>
    <xf numFmtId="0" fontId="64" fillId="0" borderId="0" xfId="34" applyFont="1" applyFill="1" applyAlignment="1">
      <alignment horizontal="center"/>
    </xf>
    <xf numFmtId="0" fontId="64" fillId="0" borderId="0" xfId="34" applyFont="1" applyFill="1"/>
    <xf numFmtId="0" fontId="64" fillId="0" borderId="0" xfId="34" applyFont="1" applyBorder="1"/>
    <xf numFmtId="0" fontId="64" fillId="0" borderId="0" xfId="34" applyFont="1" applyFill="1" applyBorder="1"/>
    <xf numFmtId="0" fontId="65" fillId="0" borderId="0" xfId="34" applyFont="1" applyFill="1"/>
    <xf numFmtId="0" fontId="64" fillId="0" borderId="1" xfId="34" applyFont="1" applyBorder="1"/>
    <xf numFmtId="0" fontId="64" fillId="0" borderId="1" xfId="34" applyFont="1" applyFill="1" applyBorder="1" applyAlignment="1">
      <alignment horizontal="center"/>
    </xf>
    <xf numFmtId="0" fontId="64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6" fillId="0" borderId="0" xfId="42" applyNumberFormat="1" applyFont="1" applyFill="1" applyAlignment="1">
      <alignment horizontal="center"/>
    </xf>
    <xf numFmtId="10" fontId="64" fillId="0" borderId="0" xfId="42" applyNumberFormat="1" applyFont="1" applyFill="1" applyAlignment="1">
      <alignment horizontal="center"/>
    </xf>
    <xf numFmtId="10" fontId="64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4" fillId="0" borderId="1" xfId="42" applyNumberFormat="1" applyFont="1" applyFill="1" applyBorder="1" applyAlignment="1">
      <alignment horizontal="center"/>
    </xf>
    <xf numFmtId="43" fontId="64" fillId="0" borderId="0" xfId="1" applyFont="1" applyFill="1"/>
    <xf numFmtId="43" fontId="67" fillId="0" borderId="0" xfId="1" applyFont="1" applyFill="1"/>
    <xf numFmtId="10" fontId="64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7" fillId="0" borderId="3" xfId="1" applyFont="1" applyFill="1" applyBorder="1"/>
    <xf numFmtId="10" fontId="64" fillId="0" borderId="3" xfId="42" applyNumberFormat="1" applyFont="1" applyFill="1" applyBorder="1"/>
    <xf numFmtId="10" fontId="64" fillId="0" borderId="3" xfId="42" applyNumberFormat="1" applyFont="1" applyFill="1" applyBorder="1" applyAlignment="1">
      <alignment horizontal="center"/>
    </xf>
    <xf numFmtId="166" fontId="67" fillId="0" borderId="0" xfId="6" applyNumberFormat="1" applyFont="1" applyFill="1"/>
    <xf numFmtId="10" fontId="64" fillId="0" borderId="0" xfId="34" applyNumberFormat="1" applyFont="1" applyFill="1" applyAlignment="1">
      <alignment horizontal="center"/>
    </xf>
    <xf numFmtId="166" fontId="64" fillId="0" borderId="0" xfId="1" applyNumberFormat="1" applyFont="1" applyFill="1"/>
    <xf numFmtId="0" fontId="65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3" fillId="0" borderId="0" xfId="34" applyFont="1" applyAlignment="1">
      <alignment horizont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2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0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69" fillId="0" borderId="0" xfId="42" applyNumberFormat="1" applyFont="1"/>
    <xf numFmtId="0" fontId="19" fillId="0" borderId="0" xfId="23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39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1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2" fillId="0" borderId="0" xfId="23" applyNumberFormat="1" applyFont="1" applyFill="1"/>
    <xf numFmtId="37" fontId="82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4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4" fillId="0" borderId="22" xfId="34" applyFont="1" applyFill="1" applyBorder="1"/>
    <xf numFmtId="0" fontId="64" fillId="0" borderId="12" xfId="34" applyFont="1" applyFill="1" applyBorder="1"/>
    <xf numFmtId="10" fontId="64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4" fillId="0" borderId="21" xfId="34" applyNumberFormat="1" applyFont="1" applyFill="1" applyBorder="1" applyAlignment="1">
      <alignment horizontal="center"/>
    </xf>
    <xf numFmtId="0" fontId="64" fillId="0" borderId="14" xfId="34" applyFont="1" applyFill="1" applyBorder="1"/>
    <xf numFmtId="166" fontId="38" fillId="0" borderId="0" xfId="6" applyNumberFormat="1" applyFont="1" applyFill="1" applyBorder="1"/>
    <xf numFmtId="10" fontId="64" fillId="0" borderId="18" xfId="34" applyNumberFormat="1" applyFont="1" applyFill="1" applyBorder="1" applyAlignment="1">
      <alignment horizontal="center"/>
    </xf>
    <xf numFmtId="0" fontId="64" fillId="0" borderId="19" xfId="34" applyFont="1" applyFill="1" applyBorder="1"/>
    <xf numFmtId="0" fontId="64" fillId="0" borderId="13" xfId="34" applyFont="1" applyFill="1" applyBorder="1"/>
    <xf numFmtId="10" fontId="64" fillId="0" borderId="13" xfId="42" applyNumberFormat="1" applyFont="1" applyFill="1" applyBorder="1" applyAlignment="1">
      <alignment horizontal="center"/>
    </xf>
    <xf numFmtId="10" fontId="64" fillId="0" borderId="20" xfId="34" applyNumberFormat="1" applyFont="1" applyFill="1" applyBorder="1" applyAlignment="1">
      <alignment horizontal="center"/>
    </xf>
    <xf numFmtId="10" fontId="65" fillId="0" borderId="0" xfId="42" applyNumberFormat="1" applyFont="1" applyFill="1" applyBorder="1"/>
    <xf numFmtId="0" fontId="65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2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38" fillId="0" borderId="0" xfId="0" applyFont="1"/>
    <xf numFmtId="0" fontId="89" fillId="0" borderId="0" xfId="0" applyFont="1"/>
    <xf numFmtId="0" fontId="39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89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89" fillId="0" borderId="2" xfId="0" applyNumberFormat="1" applyFont="1" applyBorder="1"/>
    <xf numFmtId="183" fontId="89" fillId="0" borderId="0" xfId="0" applyNumberFormat="1" applyFont="1" applyBorder="1"/>
    <xf numFmtId="10" fontId="90" fillId="0" borderId="0" xfId="0" applyNumberFormat="1" applyFont="1"/>
    <xf numFmtId="183" fontId="89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4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8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68" fontId="60" fillId="0" borderId="0" xfId="10" quotePrefix="1" applyNumberFormat="1" applyFont="1" applyFill="1" applyBorder="1" applyAlignment="1">
      <alignment horizontal="center"/>
    </xf>
    <xf numFmtId="0" fontId="95" fillId="0" borderId="0" xfId="0" applyFont="1"/>
    <xf numFmtId="3" fontId="92" fillId="0" borderId="0" xfId="23" applyNumberFormat="1" applyFont="1" applyFill="1" applyBorder="1" applyAlignment="1">
      <alignment horizontal="center" wrapText="1"/>
    </xf>
    <xf numFmtId="0" fontId="78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69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2" fillId="8" borderId="0" xfId="36" applyFill="1"/>
    <xf numFmtId="0" fontId="72" fillId="8" borderId="1" xfId="36" applyFill="1" applyBorder="1" applyAlignment="1">
      <alignment horizontal="centerContinuous"/>
    </xf>
    <xf numFmtId="0" fontId="72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2" fillId="8" borderId="0" xfId="36" applyNumberFormat="1" applyFill="1"/>
    <xf numFmtId="3" fontId="72" fillId="8" borderId="1" xfId="36" applyNumberFormat="1" applyFill="1" applyBorder="1"/>
    <xf numFmtId="3" fontId="72" fillId="8" borderId="2" xfId="36" applyNumberFormat="1" applyFill="1" applyBorder="1"/>
    <xf numFmtId="0" fontId="72" fillId="0" borderId="0" xfId="36" applyAlignment="1">
      <alignment horizontal="center"/>
    </xf>
    <xf numFmtId="0" fontId="69" fillId="0" borderId="0" xfId="19" applyFill="1"/>
    <xf numFmtId="0" fontId="4" fillId="0" borderId="0" xfId="51" applyFont="1" applyAlignment="1">
      <alignment horizontal="center"/>
    </xf>
    <xf numFmtId="0" fontId="72" fillId="0" borderId="1" xfId="36" applyFill="1" applyBorder="1" applyAlignment="1">
      <alignment horizontal="centerContinuous"/>
    </xf>
    <xf numFmtId="0" fontId="72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2" fillId="0" borderId="0" xfId="36" applyNumberFormat="1" applyFill="1"/>
    <xf numFmtId="3" fontId="72" fillId="0" borderId="1" xfId="36" applyNumberFormat="1" applyFill="1" applyBorder="1"/>
    <xf numFmtId="3" fontId="72" fillId="0" borderId="2" xfId="36" applyNumberFormat="1" applyFill="1" applyBorder="1"/>
    <xf numFmtId="0" fontId="19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2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10" fontId="97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2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0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79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6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0" fillId="0" borderId="0" xfId="3528" applyNumberFormat="1" applyFont="1" applyFill="1"/>
    <xf numFmtId="167" fontId="19" fillId="0" borderId="0" xfId="1166" applyNumberFormat="1">
      <alignment readingOrder="1"/>
    </xf>
    <xf numFmtId="0" fontId="79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8" fillId="0" borderId="0" xfId="0" applyNumberFormat="1" applyFont="1" applyFill="1"/>
    <xf numFmtId="37" fontId="50" fillId="0" borderId="0" xfId="0" applyNumberFormat="1" applyFont="1" applyFill="1"/>
    <xf numFmtId="37" fontId="118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1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53" fillId="0" borderId="0" xfId="0" applyFont="1"/>
    <xf numFmtId="3" fontId="190" fillId="0" borderId="0" xfId="41" applyNumberFormat="1" applyFont="1"/>
    <xf numFmtId="0" fontId="190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7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2" fillId="9" borderId="0" xfId="36" applyFill="1"/>
    <xf numFmtId="10" fontId="91" fillId="0" borderId="25" xfId="0" applyNumberFormat="1" applyFont="1" applyBorder="1"/>
    <xf numFmtId="0" fontId="19" fillId="0" borderId="0" xfId="23"/>
    <xf numFmtId="0" fontId="19" fillId="0" borderId="0" xfId="23"/>
    <xf numFmtId="0" fontId="64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left" vertical="top" wrapText="1"/>
    </xf>
    <xf numFmtId="0" fontId="192" fillId="0" borderId="54" xfId="0" applyFont="1" applyFill="1" applyBorder="1" applyAlignment="1">
      <alignment horizontal="right" vertical="top"/>
    </xf>
    <xf numFmtId="0" fontId="192" fillId="0" borderId="61" xfId="0" applyFont="1" applyFill="1" applyBorder="1" applyAlignment="1">
      <alignment horizontal="right" vertical="top"/>
    </xf>
    <xf numFmtId="0" fontId="192" fillId="0" borderId="55" xfId="0" applyFont="1" applyFill="1" applyBorder="1" applyAlignment="1">
      <alignment horizontal="right" vertical="top"/>
    </xf>
    <xf numFmtId="0" fontId="64" fillId="0" borderId="53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92" fillId="0" borderId="59" xfId="0" applyFont="1" applyFill="1" applyBorder="1" applyAlignment="1">
      <alignment horizontal="right" vertical="top"/>
    </xf>
    <xf numFmtId="0" fontId="192" fillId="0" borderId="62" xfId="0" applyFont="1" applyFill="1" applyBorder="1" applyAlignment="1">
      <alignment horizontal="right" vertical="top"/>
    </xf>
    <xf numFmtId="0" fontId="192" fillId="0" borderId="60" xfId="0" applyFont="1" applyFill="1" applyBorder="1" applyAlignment="1">
      <alignment horizontal="right" vertical="top"/>
    </xf>
    <xf numFmtId="0" fontId="191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center" vertical="top"/>
    </xf>
    <xf numFmtId="0" fontId="192" fillId="0" borderId="53" xfId="0" applyFont="1" applyFill="1" applyBorder="1" applyAlignment="1">
      <alignment horizontal="right" vertical="top"/>
    </xf>
    <xf numFmtId="0" fontId="191" fillId="0" borderId="63" xfId="0" applyFont="1" applyFill="1" applyBorder="1" applyAlignment="1">
      <alignment horizontal="left" vertical="top"/>
    </xf>
    <xf numFmtId="228" fontId="64" fillId="0" borderId="53" xfId="0" applyNumberFormat="1" applyFont="1" applyFill="1" applyBorder="1" applyAlignment="1">
      <alignment horizontal="right" vertical="top"/>
    </xf>
    <xf numFmtId="0" fontId="191" fillId="0" borderId="64" xfId="0" applyFont="1" applyFill="1" applyBorder="1" applyAlignment="1">
      <alignment horizontal="left" vertical="top"/>
    </xf>
    <xf numFmtId="0" fontId="191" fillId="0" borderId="65" xfId="0" applyFont="1" applyFill="1" applyBorder="1" applyAlignment="1">
      <alignment horizontal="left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4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7" fillId="0" borderId="0" xfId="41" applyNumberFormat="1" applyFont="1" applyFill="1"/>
    <xf numFmtId="10" fontId="91" fillId="0" borderId="0" xfId="0" applyNumberFormat="1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166" fontId="20" fillId="75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3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3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4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3" fontId="34" fillId="75" borderId="1" xfId="1" applyNumberFormat="1" applyFont="1" applyFill="1" applyBorder="1" applyAlignment="1">
      <alignment horizontal="center" vertical="center" wrapText="1"/>
    </xf>
    <xf numFmtId="183" fontId="89" fillId="75" borderId="3" xfId="0" applyNumberFormat="1" applyFont="1" applyFill="1" applyBorder="1"/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0" fontId="19" fillId="75" borderId="0" xfId="23" applyFill="1"/>
    <xf numFmtId="3" fontId="19" fillId="75" borderId="0" xfId="23" applyNumberFormat="1" applyFill="1"/>
    <xf numFmtId="3" fontId="19" fillId="75" borderId="0" xfId="23" applyNumberFormat="1" applyFill="1" applyBorder="1"/>
    <xf numFmtId="164" fontId="193" fillId="75" borderId="0" xfId="23" applyNumberFormat="1" applyFont="1" applyFill="1"/>
    <xf numFmtId="228" fontId="19" fillId="75" borderId="0" xfId="1227" applyNumberFormat="1" applyFill="1"/>
    <xf numFmtId="0" fontId="193" fillId="75" borderId="0" xfId="23" applyFont="1" applyFill="1"/>
    <xf numFmtId="0" fontId="193" fillId="75" borderId="0" xfId="23" applyFont="1" applyFill="1" applyAlignment="1">
      <alignment horizontal="center"/>
    </xf>
    <xf numFmtId="164" fontId="19" fillId="75" borderId="0" xfId="23" applyNumberFormat="1" applyFill="1"/>
    <xf numFmtId="0" fontId="196" fillId="0" borderId="0" xfId="1227" applyFont="1"/>
    <xf numFmtId="0" fontId="19" fillId="75" borderId="22" xfId="23" applyFill="1" applyBorder="1"/>
    <xf numFmtId="0" fontId="19" fillId="75" borderId="12" xfId="23" applyFill="1" applyBorder="1"/>
    <xf numFmtId="3" fontId="19" fillId="75" borderId="12" xfId="23" applyNumberFormat="1" applyFill="1" applyBorder="1"/>
    <xf numFmtId="164" fontId="193" fillId="75" borderId="21" xfId="23" applyNumberFormat="1" applyFont="1" applyFill="1" applyBorder="1"/>
    <xf numFmtId="0" fontId="19" fillId="75" borderId="0" xfId="1227" applyFill="1"/>
    <xf numFmtId="0" fontId="19" fillId="75" borderId="19" xfId="23" applyFill="1" applyBorder="1"/>
    <xf numFmtId="0" fontId="19" fillId="75" borderId="13" xfId="23" applyFill="1" applyBorder="1"/>
    <xf numFmtId="3" fontId="19" fillId="75" borderId="13" xfId="23" applyNumberFormat="1" applyFill="1" applyBorder="1"/>
    <xf numFmtId="164" fontId="193" fillId="75" borderId="20" xfId="23" applyNumberFormat="1" applyFont="1" applyFill="1" applyBorder="1"/>
    <xf numFmtId="0" fontId="194" fillId="75" borderId="0" xfId="1227" applyFont="1" applyFill="1" applyAlignment="1">
      <alignment horizontal="left"/>
    </xf>
    <xf numFmtId="0" fontId="26" fillId="75" borderId="0" xfId="1227" applyFont="1" applyFill="1"/>
    <xf numFmtId="166" fontId="26" fillId="75" borderId="1" xfId="1227" applyNumberFormat="1" applyFont="1" applyFill="1" applyBorder="1" applyAlignment="1">
      <alignment horizontal="left"/>
    </xf>
    <xf numFmtId="9" fontId="26" fillId="75" borderId="0" xfId="42" applyFont="1" applyFill="1"/>
    <xf numFmtId="37" fontId="20" fillId="75" borderId="0" xfId="23" applyNumberFormat="1" applyFont="1" applyFill="1" applyBorder="1" applyProtection="1">
      <protection locked="0"/>
    </xf>
    <xf numFmtId="37" fontId="20" fillId="75" borderId="0" xfId="40" applyNumberFormat="1" applyFont="1" applyFill="1"/>
    <xf numFmtId="0" fontId="20" fillId="75" borderId="0" xfId="23" applyFont="1" applyFill="1"/>
    <xf numFmtId="0" fontId="69" fillId="75" borderId="0" xfId="19" applyFill="1"/>
    <xf numFmtId="0" fontId="0" fillId="75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1" fillId="0" borderId="25" xfId="0" applyNumberFormat="1" applyFont="1" applyFill="1" applyBorder="1"/>
    <xf numFmtId="0" fontId="21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8" fillId="0" borderId="1" xfId="0" applyFont="1" applyBorder="1"/>
    <xf numFmtId="165" fontId="0" fillId="0" borderId="0" xfId="42" applyNumberFormat="1" applyFont="1"/>
    <xf numFmtId="10" fontId="26" fillId="0" borderId="52" xfId="0" applyNumberFormat="1" applyFont="1" applyFill="1" applyBorder="1"/>
    <xf numFmtId="10" fontId="0" fillId="0" borderId="0" xfId="42" applyNumberFormat="1" applyFont="1" applyFill="1"/>
    <xf numFmtId="37" fontId="19" fillId="0" borderId="0" xfId="0" applyNumberFormat="1" applyFont="1" applyFill="1"/>
    <xf numFmtId="0" fontId="0" fillId="0" borderId="13" xfId="0" applyBorder="1"/>
    <xf numFmtId="0" fontId="26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8" fillId="0" borderId="0" xfId="0" applyFont="1" applyFill="1" applyBorder="1"/>
    <xf numFmtId="5" fontId="38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39" fillId="0" borderId="0" xfId="0" applyFont="1" applyFill="1" applyBorder="1"/>
    <xf numFmtId="5" fontId="39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0" fontId="26" fillId="0" borderId="1" xfId="1227" applyFont="1" applyBorder="1" applyAlignment="1">
      <alignment horizontal="center"/>
    </xf>
    <xf numFmtId="0" fontId="26" fillId="0" borderId="0" xfId="1227" applyFont="1"/>
    <xf numFmtId="166" fontId="19" fillId="0" borderId="67" xfId="1227" applyNumberFormat="1" applyBorder="1"/>
    <xf numFmtId="10" fontId="0" fillId="0" borderId="0" xfId="42" applyNumberFormat="1" applyFont="1"/>
    <xf numFmtId="0" fontId="19" fillId="0" borderId="1" xfId="1227" applyFont="1" applyBorder="1"/>
    <xf numFmtId="10" fontId="0" fillId="0" borderId="1" xfId="42" applyNumberFormat="1" applyFont="1" applyBorder="1"/>
    <xf numFmtId="165" fontId="0" fillId="0" borderId="0" xfId="42" applyNumberFormat="1" applyFont="1" applyBorder="1"/>
    <xf numFmtId="10" fontId="19" fillId="0" borderId="0" xfId="1227" applyNumberFormat="1"/>
    <xf numFmtId="0" fontId="19" fillId="0" borderId="13" xfId="1227" applyBorder="1"/>
    <xf numFmtId="0" fontId="26" fillId="0" borderId="1" xfId="1227" applyFont="1" applyBorder="1"/>
    <xf numFmtId="37" fontId="19" fillId="0" borderId="0" xfId="1227" applyNumberFormat="1"/>
    <xf numFmtId="3" fontId="26" fillId="0" borderId="1" xfId="1227" applyNumberFormat="1" applyFont="1" applyBorder="1"/>
    <xf numFmtId="229" fontId="19" fillId="0" borderId="0" xfId="1227" applyNumberFormat="1"/>
    <xf numFmtId="0" fontId="19" fillId="0" borderId="1" xfId="1227" applyBorder="1"/>
    <xf numFmtId="229" fontId="19" fillId="0" borderId="1" xfId="1227" applyNumberFormat="1" applyBorder="1"/>
    <xf numFmtId="10" fontId="19" fillId="0" borderId="0" xfId="1227" applyNumberFormat="1" applyBorder="1"/>
    <xf numFmtId="0" fontId="26" fillId="0" borderId="0" xfId="1227" applyFont="1" applyFill="1" applyBorder="1"/>
    <xf numFmtId="3" fontId="19" fillId="0" borderId="0" xfId="1227" applyNumberFormat="1"/>
    <xf numFmtId="0" fontId="19" fillId="8" borderId="0" xfId="1227" applyFill="1"/>
    <xf numFmtId="10" fontId="41" fillId="0" borderId="23" xfId="0" applyNumberFormat="1" applyFont="1" applyFill="1" applyBorder="1"/>
    <xf numFmtId="10" fontId="78" fillId="0" borderId="24" xfId="42" applyNumberFormat="1" applyFont="1" applyFill="1" applyBorder="1"/>
    <xf numFmtId="10" fontId="26" fillId="0" borderId="52" xfId="1227" applyNumberFormat="1" applyFont="1" applyFill="1" applyBorder="1"/>
    <xf numFmtId="0" fontId="94" fillId="0" borderId="0" xfId="0" applyFont="1" applyBorder="1" applyAlignment="1"/>
    <xf numFmtId="0" fontId="9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7" fillId="0" borderId="0" xfId="0" applyFont="1" applyFill="1" applyBorder="1"/>
    <xf numFmtId="0" fontId="197" fillId="0" borderId="0" xfId="0" applyFont="1" applyBorder="1" applyAlignment="1">
      <alignment horizontal="center"/>
    </xf>
    <xf numFmtId="0" fontId="198" fillId="0" borderId="0" xfId="0" applyFont="1" applyFill="1" applyBorder="1" applyAlignment="1">
      <alignment horizontal="center" wrapText="1"/>
    </xf>
    <xf numFmtId="0" fontId="198" fillId="0" borderId="0" xfId="0" applyFont="1" applyFill="1" applyBorder="1" applyAlignment="1">
      <alignment horizontal="center"/>
    </xf>
    <xf numFmtId="0" fontId="95" fillId="0" borderId="0" xfId="0" applyFont="1" applyBorder="1"/>
    <xf numFmtId="0" fontId="26" fillId="0" borderId="0" xfId="0" applyFont="1" applyFill="1"/>
    <xf numFmtId="0" fontId="26" fillId="0" borderId="0" xfId="1227" applyFont="1" applyFill="1"/>
    <xf numFmtId="5" fontId="197" fillId="0" borderId="0" xfId="0" applyNumberFormat="1" applyFont="1" applyFill="1" applyBorder="1" applyAlignment="1">
      <alignment horizontal="center"/>
    </xf>
    <xf numFmtId="5" fontId="38" fillId="0" borderId="68" xfId="0" applyNumberFormat="1" applyFont="1" applyFill="1" applyBorder="1"/>
    <xf numFmtId="10" fontId="38" fillId="0" borderId="1" xfId="42" applyNumberFormat="1" applyFont="1" applyFill="1" applyBorder="1"/>
    <xf numFmtId="10" fontId="38" fillId="0" borderId="0" xfId="0" applyNumberFormat="1" applyFont="1" applyBorder="1"/>
    <xf numFmtId="5" fontId="39" fillId="75" borderId="52" xfId="0" applyNumberFormat="1" applyFont="1" applyFill="1" applyBorder="1"/>
    <xf numFmtId="10" fontId="39" fillId="75" borderId="52" xfId="42" applyNumberFormat="1" applyFont="1" applyFill="1" applyBorder="1"/>
    <xf numFmtId="10" fontId="34" fillId="75" borderId="52" xfId="42" applyNumberFormat="1" applyFont="1" applyFill="1" applyBorder="1" applyAlignment="1">
      <alignment horizontal="center"/>
    </xf>
    <xf numFmtId="168" fontId="34" fillId="75" borderId="52" xfId="10" applyNumberFormat="1" applyFont="1" applyFill="1" applyBorder="1"/>
    <xf numFmtId="168" fontId="34" fillId="75" borderId="52" xfId="10" applyNumberFormat="1" applyFont="1" applyFill="1" applyBorder="1" applyAlignment="1">
      <alignment horizontal="center"/>
    </xf>
    <xf numFmtId="168" fontId="60" fillId="75" borderId="52" xfId="10" applyNumberFormat="1" applyFont="1" applyFill="1" applyBorder="1"/>
    <xf numFmtId="3" fontId="34" fillId="0" borderId="1" xfId="23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195" fillId="0" borderId="1" xfId="1" applyNumberFormat="1" applyFont="1" applyFill="1" applyBorder="1" applyAlignment="1">
      <alignment horizontal="center" vertical="center" wrapText="1"/>
    </xf>
    <xf numFmtId="3" fontId="34" fillId="0" borderId="16" xfId="23" applyNumberFormat="1" applyFont="1" applyFill="1" applyBorder="1" applyAlignment="1">
      <alignment horizontal="center" vertical="center" wrapText="1"/>
    </xf>
    <xf numFmtId="3" fontId="34" fillId="75" borderId="16" xfId="1" applyNumberFormat="1" applyFont="1" applyFill="1" applyBorder="1" applyAlignment="1">
      <alignment horizontal="center" vertical="center" wrapText="1"/>
    </xf>
    <xf numFmtId="3" fontId="34" fillId="0" borderId="16" xfId="1" applyNumberFormat="1" applyFont="1" applyFill="1" applyBorder="1" applyAlignment="1">
      <alignment horizontal="center" vertical="center" wrapText="1"/>
    </xf>
    <xf numFmtId="0" fontId="26" fillId="75" borderId="1" xfId="1227" applyFont="1" applyFill="1" applyBorder="1" applyAlignment="1">
      <alignment horizontal="center"/>
    </xf>
    <xf numFmtId="166" fontId="0" fillId="75" borderId="0" xfId="1" applyNumberFormat="1" applyFont="1" applyFill="1"/>
    <xf numFmtId="10" fontId="26" fillId="75" borderId="52" xfId="1227" applyNumberFormat="1" applyFont="1" applyFill="1" applyBorder="1"/>
    <xf numFmtId="0" fontId="26" fillId="75" borderId="1" xfId="0" applyFont="1" applyFill="1" applyBorder="1" applyAlignment="1">
      <alignment horizontal="center"/>
    </xf>
    <xf numFmtId="10" fontId="26" fillId="75" borderId="52" xfId="0" applyNumberFormat="1" applyFont="1" applyFill="1" applyBorder="1"/>
    <xf numFmtId="0" fontId="26" fillId="75" borderId="1" xfId="0" applyFont="1" applyFill="1" applyBorder="1"/>
    <xf numFmtId="168" fontId="34" fillId="75" borderId="52" xfId="11" applyNumberFormat="1" applyFont="1" applyFill="1" applyBorder="1"/>
    <xf numFmtId="10" fontId="60" fillId="0" borderId="18" xfId="42" applyNumberFormat="1" applyFont="1" applyFill="1" applyBorder="1" applyAlignment="1">
      <alignment horizontal="center"/>
    </xf>
    <xf numFmtId="10" fontId="34" fillId="76" borderId="52" xfId="42" applyNumberFormat="1" applyFont="1" applyFill="1" applyBorder="1" applyAlignment="1">
      <alignment horizontal="center"/>
    </xf>
    <xf numFmtId="166" fontId="198" fillId="76" borderId="0" xfId="1" applyNumberFormat="1" applyFont="1" applyFill="1" applyBorder="1" applyAlignment="1">
      <alignment horizontal="center"/>
    </xf>
    <xf numFmtId="0" fontId="26" fillId="8" borderId="0" xfId="1227" applyFont="1" applyFill="1"/>
    <xf numFmtId="10" fontId="26" fillId="76" borderId="0" xfId="42" applyNumberFormat="1" applyFont="1" applyFill="1"/>
    <xf numFmtId="1" fontId="0" fillId="0" borderId="0" xfId="0" applyNumberFormat="1"/>
    <xf numFmtId="10" fontId="26" fillId="0" borderId="0" xfId="42" applyNumberFormat="1" applyFont="1" applyFill="1"/>
    <xf numFmtId="10" fontId="26" fillId="76" borderId="52" xfId="42" applyNumberFormat="1" applyFont="1" applyFill="1" applyBorder="1"/>
    <xf numFmtId="168" fontId="34" fillId="77" borderId="0" xfId="10" applyNumberFormat="1" applyFont="1" applyFill="1" applyBorder="1"/>
    <xf numFmtId="168" fontId="34" fillId="77" borderId="1" xfId="10" applyNumberFormat="1" applyFont="1" applyFill="1" applyBorder="1"/>
    <xf numFmtId="168" fontId="34" fillId="77" borderId="0" xfId="10" applyNumberFormat="1" applyFont="1" applyFill="1"/>
    <xf numFmtId="168" fontId="34" fillId="77" borderId="0" xfId="10" applyNumberFormat="1" applyFont="1" applyFill="1" applyAlignment="1">
      <alignment horizontal="center"/>
    </xf>
    <xf numFmtId="168" fontId="34" fillId="77" borderId="0" xfId="10" applyNumberFormat="1" applyFont="1" applyFill="1" applyBorder="1" applyAlignment="1">
      <alignment horizontal="center"/>
    </xf>
    <xf numFmtId="168" fontId="34" fillId="77" borderId="52" xfId="10" applyNumberFormat="1" applyFont="1" applyFill="1" applyBorder="1"/>
    <xf numFmtId="168" fontId="34" fillId="77" borderId="9" xfId="10" applyNumberFormat="1" applyFont="1" applyFill="1" applyBorder="1"/>
    <xf numFmtId="168" fontId="34" fillId="77" borderId="0" xfId="11" applyNumberFormat="1" applyFont="1" applyFill="1" applyBorder="1"/>
    <xf numFmtId="168" fontId="34" fillId="77" borderId="11" xfId="10" applyNumberFormat="1" applyFont="1" applyFill="1" applyBorder="1"/>
    <xf numFmtId="168" fontId="34" fillId="77" borderId="52" xfId="10" applyNumberFormat="1" applyFont="1" applyFill="1" applyBorder="1" applyAlignment="1">
      <alignment horizontal="center"/>
    </xf>
    <xf numFmtId="10" fontId="34" fillId="77" borderId="0" xfId="42" applyNumberFormat="1" applyFont="1" applyFill="1" applyBorder="1" applyAlignment="1">
      <alignment horizontal="center"/>
    </xf>
    <xf numFmtId="3" fontId="34" fillId="76" borderId="16" xfId="23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0" fontId="34" fillId="77" borderId="0" xfId="23" applyFont="1" applyFill="1" applyAlignment="1">
      <alignment horizontal="center"/>
    </xf>
    <xf numFmtId="0" fontId="94" fillId="0" borderId="0" xfId="0" applyFont="1" applyAlignment="1">
      <alignment horizontal="center"/>
    </xf>
    <xf numFmtId="0" fontId="94" fillId="7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75" borderId="0" xfId="0" applyFont="1" applyFill="1" applyAlignment="1">
      <alignment horizontal="center"/>
    </xf>
    <xf numFmtId="0" fontId="34" fillId="75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5" borderId="0" xfId="19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172" fontId="34" fillId="75" borderId="0" xfId="23" applyNumberFormat="1" applyFont="1" applyFill="1" applyBorder="1" applyAlignment="1">
      <alignment horizontal="left" vertical="top" wrapText="1"/>
    </xf>
    <xf numFmtId="172" fontId="34" fillId="75" borderId="13" xfId="23" applyNumberFormat="1" applyFont="1" applyFill="1" applyBorder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3" fillId="0" borderId="13" xfId="23" applyNumberFormat="1" applyFont="1" applyFill="1" applyBorder="1" applyAlignment="1">
      <alignment horizontal="center"/>
    </xf>
    <xf numFmtId="3" fontId="93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194" fillId="75" borderId="0" xfId="0" applyFont="1" applyFill="1" applyAlignment="1">
      <alignment horizontal="left"/>
    </xf>
    <xf numFmtId="0" fontId="194" fillId="75" borderId="0" xfId="1227" applyFont="1" applyFill="1" applyAlignment="1">
      <alignment horizontal="left"/>
    </xf>
    <xf numFmtId="0" fontId="68" fillId="0" borderId="13" xfId="143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3" fillId="0" borderId="0" xfId="36" applyFont="1" applyAlignment="1">
      <alignment horizontal="center" wrapText="1"/>
    </xf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  <xf numFmtId="0" fontId="201" fillId="8" borderId="23" xfId="0" applyFont="1" applyFill="1" applyBorder="1"/>
    <xf numFmtId="0" fontId="202" fillId="0" borderId="25" xfId="0" applyFont="1" applyBorder="1" applyAlignment="1">
      <alignment wrapText="1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Plant'!$B$33:$G$33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66464"/>
        <c:axId val="484266856"/>
      </c:scatterChart>
      <c:valAx>
        <c:axId val="48426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66856"/>
        <c:crosses val="autoZero"/>
        <c:crossBetween val="midCat"/>
      </c:valAx>
      <c:valAx>
        <c:axId val="484266856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6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Exp-2007-2014'!$A$36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Exp-2007-2014'!$B$36:$G$36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Exp-2007-2014'!$A$37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Exp-2007-2014'!$B$37:$G$37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Exp-2007-2014'!$A$38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Exp-2007-2014'!$B$38:$G$38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6416"/>
        <c:axId val="666778576"/>
      </c:scatterChart>
      <c:valAx>
        <c:axId val="66678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8576"/>
        <c:crosses val="autoZero"/>
        <c:crossBetween val="midCat"/>
      </c:valAx>
      <c:valAx>
        <c:axId val="666778576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2007-2014,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83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Operating Exp-2007-2014'!$B$5:$I$5</c:f>
              <c:numCache>
                <c:formatCode>_(* #,##0_);_(* \(#,##0\);_(* "-"??_);_(@_)</c:formatCode>
                <c:ptCount val="8"/>
                <c:pt idx="0">
                  <c:v>82500.7999895299</c:v>
                </c:pt>
                <c:pt idx="1">
                  <c:v>88193.488212752593</c:v>
                </c:pt>
                <c:pt idx="2">
                  <c:v>92620.203679038852</c:v>
                </c:pt>
                <c:pt idx="3">
                  <c:v>99554.523400356033</c:v>
                </c:pt>
                <c:pt idx="4">
                  <c:v>106598.7529832047</c:v>
                </c:pt>
                <c:pt idx="5">
                  <c:v>115553.49114962851</c:v>
                </c:pt>
                <c:pt idx="6">
                  <c:v>109801</c:v>
                </c:pt>
                <c:pt idx="7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0928"/>
        <c:axId val="666786808"/>
      </c:scatterChart>
      <c:valAx>
        <c:axId val="6667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6786808"/>
        <c:crosses val="autoZero"/>
        <c:crossBetween val="midCat"/>
      </c:valAx>
      <c:valAx>
        <c:axId val="6667868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67809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339107611548571"/>
                  <c:y val="3.6738233807730586E-2"/>
                </c:manualLayout>
              </c:layout>
              <c:numFmt formatCode="General" sourceLinked="0"/>
            </c:trendlineLbl>
          </c:trendline>
          <c:xVal>
            <c:numRef>
              <c:f>'Adj Operating Exp-2007-2014'!$F$35:$G$35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Exp-2007-2014'!$F$38:$G$38</c:f>
              <c:numCache>
                <c:formatCode>#,##0_);\(#,##0\)</c:formatCode>
                <c:ptCount val="2"/>
                <c:pt idx="0">
                  <c:v>128510</c:v>
                </c:pt>
                <c:pt idx="1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1320"/>
        <c:axId val="666779752"/>
      </c:scatterChart>
      <c:valAx>
        <c:axId val="666781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6779752"/>
        <c:crosses val="autoZero"/>
        <c:crossBetween val="midCat"/>
      </c:valAx>
      <c:valAx>
        <c:axId val="66677975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666781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2013-2014,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5585736265725537"/>
                  <c:y val="0.11447449503594655"/>
                </c:manualLayout>
              </c:layout>
              <c:numFmt formatCode="General" sourceLinked="0"/>
            </c:trendlineLbl>
          </c:trendline>
          <c:xVal>
            <c:numRef>
              <c:f>'Adj Operating Exp-2007-2014'!$H$2:$I$2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Exp-2007-2014'!$H$5:$I$5</c:f>
              <c:numCache>
                <c:formatCode>_(* #,##0_);_(* \(#,##0\);_(* "-"??_);_(@_)</c:formatCode>
                <c:ptCount val="2"/>
                <c:pt idx="0">
                  <c:v>109801</c:v>
                </c:pt>
                <c:pt idx="1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7984"/>
        <c:axId val="666788376"/>
      </c:scatterChart>
      <c:valAx>
        <c:axId val="66678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6788376"/>
        <c:crosses val="autoZero"/>
        <c:crossBetween val="midCat"/>
      </c:valAx>
      <c:valAx>
        <c:axId val="6667883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67879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2009-2014,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94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Exp-2007-2014'!$D$2:$I$2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Exp-2007-2014'!$D$3:$I$3</c:f>
              <c:numCache>
                <c:formatCode>_(* #,##0_);_(* \(#,##0\);_(* "-"??_);_(@_)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2">
                  <c:v>123418.7529832047</c:v>
                </c:pt>
                <c:pt idx="3">
                  <c:v>134594.49114962851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0536"/>
        <c:axId val="666781712"/>
      </c:scatterChart>
      <c:valAx>
        <c:axId val="666780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6781712"/>
        <c:crosses val="autoZero"/>
        <c:crossBetween val="midCat"/>
      </c:valAx>
      <c:valAx>
        <c:axId val="6667817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6780536"/>
        <c:crosses val="autoZero"/>
        <c:crossBetween val="midCat"/>
      </c:valAx>
    </c:plotArea>
    <c:plotVisOnly val="1"/>
    <c:dispBlanksAs val="gap"/>
    <c:showDLblsOverMax val="0"/>
  </c:chart>
  <c:spPr>
    <a:noFill/>
  </c:spPr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91120"/>
        <c:axId val="666789552"/>
      </c:scatterChart>
      <c:valAx>
        <c:axId val="66679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9552"/>
        <c:crosses val="autoZero"/>
        <c:crossBetween val="midCat"/>
      </c:valAx>
      <c:valAx>
        <c:axId val="66678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96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9944"/>
        <c:axId val="666792688"/>
      </c:scatterChart>
      <c:valAx>
        <c:axId val="66678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2688"/>
        <c:crosses val="autoZero"/>
        <c:crossBetween val="midCat"/>
      </c:valAx>
      <c:valAx>
        <c:axId val="666792688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9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888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90728"/>
        <c:axId val="666791512"/>
      </c:scatterChart>
      <c:valAx>
        <c:axId val="66679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512"/>
        <c:crosses val="autoZero"/>
        <c:crossBetween val="midCat"/>
      </c:valAx>
      <c:valAx>
        <c:axId val="666791512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591160"/>
        <c:axId val="664590768"/>
      </c:lineChart>
      <c:catAx>
        <c:axId val="66459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590768"/>
        <c:crosses val="autoZero"/>
        <c:auto val="1"/>
        <c:lblAlgn val="ctr"/>
        <c:lblOffset val="100"/>
        <c:noMultiLvlLbl val="0"/>
      </c:catAx>
      <c:valAx>
        <c:axId val="66459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59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'Net Plant'!$B$3:$I$3</c:f>
              <c:numCache>
                <c:formatCode>_(* #,##0_);_(* \(#,##0\);_(* "-"??_);_(@_)</c:formatCode>
                <c:ptCount val="8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67640"/>
        <c:axId val="484268032"/>
      </c:scatterChart>
      <c:valAx>
        <c:axId val="48426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68032"/>
        <c:crosses val="autoZero"/>
        <c:crossBetween val="midCat"/>
      </c:valAx>
      <c:valAx>
        <c:axId val="484268032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6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'[7]Remove Dist'!$A$2</c:f>
              <c:strCache>
                <c:ptCount val="1"/>
                <c:pt idx="0">
                  <c:v>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'[7]Remove Dist'!$B$1:$I$1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'[7]Remove Dist'!$B$2:$I$2</c:f>
              <c:numCache>
                <c:formatCode>General</c:formatCode>
                <c:ptCount val="8"/>
                <c:pt idx="0">
                  <c:v>1009868</c:v>
                </c:pt>
                <c:pt idx="1">
                  <c:v>1064749</c:v>
                </c:pt>
                <c:pt idx="2">
                  <c:v>1150959</c:v>
                </c:pt>
                <c:pt idx="3">
                  <c:v>1220889</c:v>
                </c:pt>
                <c:pt idx="4">
                  <c:v>1288304</c:v>
                </c:pt>
                <c:pt idx="5">
                  <c:v>1339779</c:v>
                </c:pt>
                <c:pt idx="6">
                  <c:v>1416364</c:v>
                </c:pt>
                <c:pt idx="7">
                  <c:v>1472270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68424"/>
        <c:axId val="482424408"/>
      </c:scatterChart>
      <c:valAx>
        <c:axId val="484268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424408"/>
        <c:crosses val="autoZero"/>
        <c:crossBetween val="midCat"/>
      </c:valAx>
      <c:valAx>
        <c:axId val="482424408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68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'remove dist'!$A$36</c:f>
              <c:strCache>
                <c:ptCount val="1"/>
                <c:pt idx="0">
                  <c:v>Distribution 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'remove dist'!$B$35:$I$35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'remove dist'!$B$36:$I$36</c:f>
              <c:numCache>
                <c:formatCode>#,##0_);\(#,##0\)</c:formatCode>
                <c:ptCount val="8"/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2104"/>
        <c:axId val="666784848"/>
      </c:scatterChart>
      <c:valAx>
        <c:axId val="66678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4848"/>
        <c:crosses val="autoZero"/>
        <c:crossBetween val="midCat"/>
      </c:valAx>
      <c:valAx>
        <c:axId val="6667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'Dep-Amort'!$B$33:$G$33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3672"/>
        <c:axId val="666778968"/>
      </c:scatterChart>
      <c:valAx>
        <c:axId val="66678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8968"/>
        <c:crosses val="autoZero"/>
        <c:crossBetween val="midCat"/>
      </c:valAx>
      <c:valAx>
        <c:axId val="666778968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3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'Dep-Amort'!$B$3:$I$3</c:f>
              <c:numCache>
                <c:formatCode>_(* #,##0_);_(* \(#,##0\);_(* "-"??_);_(@_)</c:formatCode>
                <c:ptCount val="8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78184"/>
        <c:axId val="666785240"/>
      </c:scatterChart>
      <c:valAx>
        <c:axId val="66677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5240"/>
        <c:crosses val="autoZero"/>
        <c:crossBetween val="midCat"/>
      </c:valAx>
      <c:valAx>
        <c:axId val="66678524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8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Taxes'!$A$34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843E-2"/>
                  <c:y val="0.21606273884039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Taxes'!$B$33:$G$33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Taxes'!$B$34:$G$34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4064"/>
        <c:axId val="666785632"/>
      </c:scatterChart>
      <c:valAx>
        <c:axId val="66678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5632"/>
        <c:crosses val="autoZero"/>
        <c:crossBetween val="midCat"/>
      </c:valAx>
      <c:valAx>
        <c:axId val="666785632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94E-2"/>
                  <c:y val="0.216062738840396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Taxes'!$B$3:$I$3</c:f>
              <c:numCache>
                <c:formatCode>_(* #,##0_);_(* \(#,##0\);_(* "-"??_);_(@_)</c:formatCode>
                <c:ptCount val="8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4456"/>
        <c:axId val="666786024"/>
      </c:scatterChart>
      <c:valAx>
        <c:axId val="66678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6024"/>
        <c:crosses val="autoZero"/>
        <c:crossBetween val="midCat"/>
      </c:valAx>
      <c:valAx>
        <c:axId val="666786024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4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77792"/>
        <c:axId val="666782496"/>
      </c:scatterChart>
      <c:valAx>
        <c:axId val="66677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2496"/>
        <c:crosses val="autoZero"/>
        <c:crossBetween val="midCat"/>
      </c:valAx>
      <c:valAx>
        <c:axId val="66678249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7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11430</xdr:rowOff>
    </xdr:from>
    <xdr:to>
      <xdr:col>6</xdr:col>
      <xdr:colOff>685800</xdr:colOff>
      <xdr:row>58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14</xdr:row>
      <xdr:rowOff>15240</xdr:rowOff>
    </xdr:from>
    <xdr:to>
      <xdr:col>6</xdr:col>
      <xdr:colOff>365760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697230</xdr:colOff>
      <xdr:row>37</xdr:row>
      <xdr:rowOff>34290</xdr:rowOff>
    </xdr:from>
    <xdr:to>
      <xdr:col>6</xdr:col>
      <xdr:colOff>339090</xdr:colOff>
      <xdr:row>53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156210</xdr:rowOff>
    </xdr:from>
    <xdr:to>
      <xdr:col>6</xdr:col>
      <xdr:colOff>601980</xdr:colOff>
      <xdr:row>59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163830</xdr:rowOff>
    </xdr:from>
    <xdr:to>
      <xdr:col>7</xdr:col>
      <xdr:colOff>15240</xdr:colOff>
      <xdr:row>59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11431</xdr:rowOff>
    </xdr:from>
    <xdr:to>
      <xdr:col>2</xdr:col>
      <xdr:colOff>638175</xdr:colOff>
      <xdr:row>59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62753</xdr:colOff>
      <xdr:row>11</xdr:row>
      <xdr:rowOff>79000</xdr:rowOff>
    </xdr:from>
    <xdr:to>
      <xdr:col>3</xdr:col>
      <xdr:colOff>168088</xdr:colOff>
      <xdr:row>28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342901</xdr:colOff>
      <xdr:row>44</xdr:row>
      <xdr:rowOff>47625</xdr:rowOff>
    </xdr:from>
    <xdr:to>
      <xdr:col>8</xdr:col>
      <xdr:colOff>723901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392206</xdr:colOff>
      <xdr:row>11</xdr:row>
      <xdr:rowOff>95250</xdr:rowOff>
    </xdr:from>
    <xdr:to>
      <xdr:col>9</xdr:col>
      <xdr:colOff>9525</xdr:colOff>
      <xdr:row>28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265579</xdr:colOff>
      <xdr:row>14</xdr:row>
      <xdr:rowOff>105335</xdr:rowOff>
    </xdr:from>
    <xdr:to>
      <xdr:col>29</xdr:col>
      <xdr:colOff>303679</xdr:colOff>
      <xdr:row>37</xdr:row>
      <xdr:rowOff>108698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UE-150204%20Kermode%20vs%20EMA-6%20(correct%20Power%20Supply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McGuire%20Exh%20CRM-2-Revised%202007-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ROR"/>
      <sheetName val="Attrition 09.2014 to 2016"/>
      <sheetName val="PF Power Supply 09.2014 load"/>
      <sheetName val="Cost Trends"/>
      <sheetName val="Remove Dist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</row>
        <row r="2">
          <cell r="A2" t="str">
            <v>Net Plant</v>
          </cell>
          <cell r="B2">
            <v>1009868</v>
          </cell>
          <cell r="C2">
            <v>1064749</v>
          </cell>
          <cell r="D2">
            <v>1150959</v>
          </cell>
          <cell r="E2">
            <v>1220889</v>
          </cell>
          <cell r="F2">
            <v>1288304</v>
          </cell>
          <cell r="G2">
            <v>1339779</v>
          </cell>
          <cell r="H2">
            <v>1416364</v>
          </cell>
          <cell r="I2">
            <v>1472270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Adj Operating Exp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/>
      <sheetData sheetId="3">
        <row r="103">
          <cell r="M103">
            <v>92211.7999895299</v>
          </cell>
          <cell r="O103">
            <v>108289.20367903885</v>
          </cell>
          <cell r="P103">
            <v>113649.52340035603</v>
          </cell>
          <cell r="Q103">
            <v>123418.7529832047</v>
          </cell>
          <cell r="R103">
            <v>134594.49114962851</v>
          </cell>
          <cell r="S103">
            <v>128510</v>
          </cell>
          <cell r="T103">
            <v>130891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tabSelected="1" workbookViewId="0">
      <selection activeCell="B11" sqref="B11"/>
    </sheetView>
  </sheetViews>
  <sheetFormatPr defaultRowHeight="13.2"/>
  <cols>
    <col min="1" max="1" width="8.88671875" style="617"/>
    <col min="2" max="2" width="62.6640625" style="617" customWidth="1"/>
    <col min="3" max="16384" width="8.88671875" style="617"/>
  </cols>
  <sheetData>
    <row r="1" spans="2:2" ht="13.8" thickBot="1"/>
    <row r="2" spans="2:2" ht="15.6">
      <c r="B2" s="935" t="s">
        <v>775</v>
      </c>
    </row>
    <row r="3" spans="2:2" ht="27" thickBot="1">
      <c r="B3" s="936" t="s">
        <v>776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3.2"/>
  <cols>
    <col min="1" max="1" width="25.6640625" customWidth="1"/>
  </cols>
  <sheetData>
    <row r="1" spans="1:7" s="617" customFormat="1">
      <c r="B1" s="786">
        <v>2009</v>
      </c>
      <c r="C1" s="786">
        <v>2010</v>
      </c>
      <c r="D1" s="786">
        <v>2011</v>
      </c>
      <c r="E1" s="786">
        <v>2012</v>
      </c>
      <c r="F1" s="786">
        <v>2013</v>
      </c>
      <c r="G1" s="786">
        <v>2014</v>
      </c>
    </row>
    <row r="2" spans="1:7">
      <c r="A2" t="s">
        <v>697</v>
      </c>
      <c r="B2" s="345">
        <f>'Cost Trends'!O140</f>
        <v>2813.6201999999994</v>
      </c>
      <c r="C2" s="345">
        <f>'Cost Trends'!P140</f>
        <v>2813.1288000000004</v>
      </c>
      <c r="D2" s="345">
        <f>'Cost Trends'!Q140</f>
        <v>2812.3060000000005</v>
      </c>
      <c r="E2" s="345">
        <f>'Cost Trends'!R140</f>
        <v>3314.6805999999997</v>
      </c>
      <c r="F2" s="345">
        <f>'Cost Trends'!S140</f>
        <v>3464</v>
      </c>
      <c r="G2" s="345">
        <f>'Cost Trends'!T140</f>
        <v>3478.1931000000004</v>
      </c>
    </row>
    <row r="5" spans="1:7">
      <c r="A5" s="617" t="s">
        <v>706</v>
      </c>
      <c r="B5" s="2">
        <f>165.08</f>
        <v>165.08</v>
      </c>
      <c r="C5" s="617"/>
    </row>
    <row r="6" spans="1:7">
      <c r="A6" s="617" t="s">
        <v>700</v>
      </c>
      <c r="B6" s="788">
        <f>B5/G2</f>
        <v>4.7461424726534016E-2</v>
      </c>
      <c r="C6" s="617"/>
    </row>
    <row r="7" spans="1:7">
      <c r="A7" s="617" t="s">
        <v>707</v>
      </c>
      <c r="B7" s="788">
        <f>B6*2</f>
        <v>9.4922849453068031E-2</v>
      </c>
      <c r="C7" s="617" t="s">
        <v>710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85" workbookViewId="0">
      <selection activeCell="F9" sqref="F9:H10"/>
    </sheetView>
  </sheetViews>
  <sheetFormatPr defaultColWidth="9.109375" defaultRowHeight="13.2"/>
  <cols>
    <col min="1" max="1" width="35.109375" style="672" customWidth="1"/>
    <col min="2" max="2" width="9.109375" style="672" customWidth="1"/>
    <col min="3" max="3" width="10.109375" style="672" bestFit="1" customWidth="1"/>
    <col min="4" max="4" width="10.33203125" style="672" bestFit="1" customWidth="1"/>
    <col min="5" max="7" width="9.109375" style="672" customWidth="1"/>
    <col min="8" max="9" width="13.44140625" style="672" bestFit="1" customWidth="1"/>
    <col min="10" max="10" width="2" style="672" customWidth="1"/>
    <col min="11" max="16384" width="9.109375" style="672"/>
  </cols>
  <sheetData>
    <row r="1" spans="1:32">
      <c r="A1" s="923" t="s">
        <v>743</v>
      </c>
      <c r="B1" s="923"/>
      <c r="C1" s="923"/>
      <c r="D1" s="923"/>
      <c r="E1" s="923"/>
      <c r="F1" s="923"/>
      <c r="G1" s="923"/>
      <c r="H1" s="923"/>
    </row>
    <row r="2" spans="1:32">
      <c r="B2" s="859">
        <v>2007</v>
      </c>
      <c r="C2" s="859">
        <v>2008</v>
      </c>
      <c r="D2" s="811">
        <v>2009</v>
      </c>
      <c r="E2" s="811">
        <v>2010</v>
      </c>
      <c r="F2" s="811">
        <v>2011</v>
      </c>
      <c r="G2" s="811">
        <v>2012</v>
      </c>
      <c r="H2" s="811">
        <v>2013</v>
      </c>
      <c r="I2" s="811">
        <v>2014</v>
      </c>
    </row>
    <row r="3" spans="1:32">
      <c r="A3" s="672" t="s">
        <v>747</v>
      </c>
      <c r="B3" s="860">
        <f>'Cost Trends'!M104</f>
        <v>92211.7999895299</v>
      </c>
      <c r="C3" s="860">
        <f>'Cost Trends'!N104</f>
        <v>99146.488212752593</v>
      </c>
      <c r="D3" s="238">
        <f>'Cost Trends'!O104</f>
        <v>108289.20367903885</v>
      </c>
      <c r="E3" s="238">
        <f>'Cost Trends'!P104</f>
        <v>113649.52340035603</v>
      </c>
      <c r="F3" s="238">
        <f>'Cost Trends'!Q104</f>
        <v>123418.7529832047</v>
      </c>
      <c r="G3" s="238">
        <f>'Cost Trends'!R104</f>
        <v>134594.49114962851</v>
      </c>
      <c r="H3" s="238">
        <f>'Cost Trends'!S104</f>
        <v>128510</v>
      </c>
      <c r="I3" s="238">
        <f>'Cost Trends'!T104</f>
        <v>130891</v>
      </c>
    </row>
    <row r="4" spans="1:32">
      <c r="A4" s="812" t="s">
        <v>737</v>
      </c>
      <c r="B4" s="860">
        <v>-9711</v>
      </c>
      <c r="C4" s="860">
        <v>-10953</v>
      </c>
      <c r="D4" s="860">
        <v>-15669</v>
      </c>
      <c r="E4" s="860">
        <v>-14095</v>
      </c>
      <c r="F4" s="860">
        <v>-16820</v>
      </c>
      <c r="G4" s="860">
        <v>-19041</v>
      </c>
      <c r="H4" s="860">
        <v>-18709</v>
      </c>
      <c r="I4" s="860">
        <v>-14095</v>
      </c>
    </row>
    <row r="5" spans="1:32" ht="13.8" thickBot="1">
      <c r="B5" s="813">
        <f>SUM(B3:B4)</f>
        <v>82500.7999895299</v>
      </c>
      <c r="C5" s="813">
        <f t="shared" ref="C5:I5" si="0">SUM(C3:C4)</f>
        <v>88193.488212752593</v>
      </c>
      <c r="D5" s="813">
        <f t="shared" si="0"/>
        <v>92620.203679038852</v>
      </c>
      <c r="E5" s="813">
        <f t="shared" si="0"/>
        <v>99554.523400356033</v>
      </c>
      <c r="F5" s="813">
        <f t="shared" si="0"/>
        <v>106598.7529832047</v>
      </c>
      <c r="G5" s="813">
        <f t="shared" si="0"/>
        <v>115553.49114962851</v>
      </c>
      <c r="H5" s="813">
        <f t="shared" si="0"/>
        <v>109801</v>
      </c>
      <c r="I5" s="813">
        <f t="shared" si="0"/>
        <v>116796</v>
      </c>
    </row>
    <row r="7" spans="1:32">
      <c r="B7" s="811" t="s">
        <v>702</v>
      </c>
      <c r="C7" s="811" t="s">
        <v>738</v>
      </c>
      <c r="D7" s="811" t="s">
        <v>704</v>
      </c>
    </row>
    <row r="8" spans="1:32">
      <c r="A8" s="672" t="s">
        <v>739</v>
      </c>
      <c r="B8" s="346">
        <v>5047</v>
      </c>
      <c r="C8" s="814">
        <f>B8/I5</f>
        <v>4.321209630466797E-2</v>
      </c>
      <c r="D8" s="796">
        <f>C8*2</f>
        <v>8.642419260933594E-2</v>
      </c>
    </row>
    <row r="9" spans="1:32" ht="13.8" thickBot="1">
      <c r="A9" s="815" t="s">
        <v>740</v>
      </c>
      <c r="B9" s="748">
        <v>6995</v>
      </c>
      <c r="C9" s="816">
        <f>B9/I5</f>
        <v>5.989074968320833E-2</v>
      </c>
      <c r="D9" s="817">
        <f>C9*2</f>
        <v>0.11978149936641666</v>
      </c>
      <c r="G9" s="824" t="s">
        <v>757</v>
      </c>
      <c r="H9" s="824" t="s">
        <v>758</v>
      </c>
    </row>
    <row r="10" spans="1:32" ht="13.8" thickBot="1">
      <c r="A10" s="812" t="s">
        <v>31</v>
      </c>
      <c r="C10" s="818">
        <f>AVERAGE(C8:C9)</f>
        <v>5.1551422993938154E-2</v>
      </c>
      <c r="D10" s="861">
        <f>AVERAGE(D8:D9)</f>
        <v>0.10310284598787631</v>
      </c>
      <c r="F10" s="869" t="s">
        <v>756</v>
      </c>
      <c r="G10" s="818">
        <v>3.2099999999999997E-2</v>
      </c>
      <c r="H10" s="870">
        <f>2*G10</f>
        <v>6.4199999999999993E-2</v>
      </c>
    </row>
    <row r="12" spans="1:32"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</row>
    <row r="13" spans="1:32"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</row>
    <row r="14" spans="1:32">
      <c r="W14" s="829"/>
      <c r="X14" s="829"/>
      <c r="Y14" s="829"/>
      <c r="Z14" s="829"/>
      <c r="AA14" s="829"/>
      <c r="AB14" s="829"/>
      <c r="AC14" s="829"/>
      <c r="AD14" s="829"/>
      <c r="AE14" s="829"/>
      <c r="AF14" s="829"/>
    </row>
    <row r="15" spans="1:32"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</row>
    <row r="16" spans="1:32"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</row>
    <row r="17" spans="23:32"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</row>
    <row r="18" spans="23:32">
      <c r="W18" s="829"/>
      <c r="X18" s="829"/>
      <c r="Y18" s="829"/>
      <c r="Z18" s="829"/>
      <c r="AA18" s="829"/>
      <c r="AB18" s="829"/>
      <c r="AC18" s="829"/>
      <c r="AD18" s="829"/>
      <c r="AE18" s="829"/>
      <c r="AF18" s="829"/>
    </row>
    <row r="19" spans="23:32"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</row>
    <row r="20" spans="23:32"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</row>
    <row r="21" spans="23:32"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</row>
    <row r="22" spans="23:32"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</row>
    <row r="23" spans="23:32"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</row>
    <row r="24" spans="23:32"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</row>
    <row r="25" spans="23:32"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</row>
    <row r="26" spans="23:32">
      <c r="W26" s="829"/>
      <c r="X26" s="829"/>
      <c r="Y26" s="829"/>
      <c r="Z26" s="829"/>
      <c r="AA26" s="829"/>
      <c r="AB26" s="829"/>
      <c r="AC26" s="829"/>
      <c r="AD26" s="829"/>
      <c r="AE26" s="829"/>
      <c r="AF26" s="829"/>
    </row>
    <row r="27" spans="23:32">
      <c r="W27" s="829"/>
      <c r="X27" s="829"/>
      <c r="Y27" s="829"/>
      <c r="Z27" s="829"/>
      <c r="AA27" s="829"/>
      <c r="AB27" s="829"/>
      <c r="AC27" s="829"/>
      <c r="AD27" s="829"/>
      <c r="AE27" s="829"/>
      <c r="AF27" s="829"/>
    </row>
    <row r="28" spans="23:32"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</row>
    <row r="29" spans="23:32"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</row>
    <row r="30" spans="23:32">
      <c r="W30" s="829"/>
      <c r="X30" s="829"/>
      <c r="Y30" s="829"/>
      <c r="Z30" s="829"/>
      <c r="AA30" s="829"/>
      <c r="AB30" s="829"/>
      <c r="AC30" s="829"/>
      <c r="AD30" s="829"/>
      <c r="AE30" s="829"/>
      <c r="AF30" s="829"/>
    </row>
    <row r="31" spans="23:32"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</row>
    <row r="32" spans="23:32"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</row>
    <row r="33" spans="1:32" ht="13.8" thickBot="1">
      <c r="A33" s="819"/>
      <c r="B33" s="819"/>
      <c r="C33" s="819"/>
      <c r="D33" s="819"/>
      <c r="E33" s="819"/>
      <c r="F33" s="819"/>
      <c r="G33" s="819"/>
      <c r="H33" s="819"/>
      <c r="W33" s="829"/>
      <c r="X33" s="829"/>
      <c r="Y33" s="829"/>
      <c r="Z33" s="829"/>
      <c r="AA33" s="829"/>
      <c r="AB33" s="829"/>
      <c r="AC33" s="829"/>
      <c r="AD33" s="829"/>
      <c r="AE33" s="829"/>
      <c r="AF33" s="829"/>
    </row>
    <row r="34" spans="1:32">
      <c r="A34" s="842" t="s">
        <v>736</v>
      </c>
      <c r="W34" s="829"/>
      <c r="X34" s="829"/>
      <c r="Y34" s="829"/>
      <c r="Z34" s="829"/>
      <c r="AA34" s="829"/>
      <c r="AB34" s="829"/>
      <c r="AC34" s="829"/>
      <c r="AD34" s="829"/>
      <c r="AE34" s="829"/>
      <c r="AF34" s="829"/>
    </row>
    <row r="35" spans="1:32">
      <c r="B35" s="820">
        <v>2009</v>
      </c>
      <c r="C35" s="820">
        <v>2010</v>
      </c>
      <c r="D35" s="820">
        <v>2011</v>
      </c>
      <c r="E35" s="820">
        <v>2012</v>
      </c>
      <c r="F35" s="820">
        <v>2013</v>
      </c>
      <c r="G35" s="820">
        <v>2014</v>
      </c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</row>
    <row r="36" spans="1:32">
      <c r="A36" s="672" t="s">
        <v>717</v>
      </c>
      <c r="B36" s="821">
        <f>'[8]Cost Trends'!O103</f>
        <v>108289.20367903885</v>
      </c>
      <c r="C36" s="821">
        <f>'[8]Cost Trends'!P103</f>
        <v>113649.52340035603</v>
      </c>
      <c r="F36" s="821">
        <f>'[8]Cost Trends'!S103</f>
        <v>128510</v>
      </c>
      <c r="G36" s="821">
        <f>'[8]Cost Trends'!T103</f>
        <v>130891</v>
      </c>
      <c r="H36" s="821"/>
      <c r="W36" s="829"/>
      <c r="X36" s="829"/>
      <c r="Y36" s="829"/>
      <c r="Z36" s="829"/>
      <c r="AA36" s="829"/>
      <c r="AB36" s="829"/>
      <c r="AC36" s="829"/>
      <c r="AD36" s="829"/>
      <c r="AE36" s="829"/>
      <c r="AF36" s="829"/>
    </row>
    <row r="37" spans="1:32">
      <c r="A37" s="672" t="s">
        <v>718</v>
      </c>
      <c r="D37" s="821">
        <f>'[8]Cost Trends'!Q103</f>
        <v>123418.7529832047</v>
      </c>
      <c r="E37" s="821">
        <f>'[8]Cost Trends'!R103</f>
        <v>134594.49114962851</v>
      </c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</row>
    <row r="38" spans="1:32">
      <c r="A38" s="672" t="s">
        <v>719</v>
      </c>
      <c r="F38" s="821">
        <f>'[8]Cost Trends'!S103</f>
        <v>128510</v>
      </c>
      <c r="G38" s="821">
        <f>'[8]Cost Trends'!T103</f>
        <v>130891</v>
      </c>
      <c r="W38" s="829"/>
      <c r="X38" s="829"/>
      <c r="Y38" s="829"/>
      <c r="Z38" s="829"/>
      <c r="AA38" s="829"/>
      <c r="AB38" s="829"/>
      <c r="AC38" s="829"/>
      <c r="AD38" s="829"/>
      <c r="AE38" s="829"/>
      <c r="AF38" s="829"/>
    </row>
    <row r="39" spans="1:32">
      <c r="W39" s="829"/>
      <c r="X39" s="829"/>
      <c r="Y39" s="829"/>
      <c r="Z39" s="829"/>
      <c r="AA39" s="829"/>
      <c r="AB39" s="829"/>
      <c r="AC39" s="829"/>
      <c r="AD39" s="829"/>
      <c r="AE39" s="829"/>
      <c r="AF39" s="829"/>
    </row>
    <row r="40" spans="1:32">
      <c r="B40" s="822" t="s">
        <v>702</v>
      </c>
      <c r="C40" s="820" t="s">
        <v>703</v>
      </c>
      <c r="D40" s="820" t="s">
        <v>704</v>
      </c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</row>
    <row r="41" spans="1:32">
      <c r="A41" s="672" t="s">
        <v>708</v>
      </c>
      <c r="B41" s="823">
        <v>2381</v>
      </c>
      <c r="C41" s="818">
        <f>B41/G38</f>
        <v>1.8190708299271913E-2</v>
      </c>
      <c r="D41" s="818">
        <f>2*C41</f>
        <v>3.6381416598543825E-2</v>
      </c>
      <c r="W41" s="829"/>
      <c r="X41" s="829"/>
      <c r="Y41" s="829"/>
      <c r="Z41" s="829"/>
      <c r="AA41" s="829"/>
      <c r="AB41" s="829"/>
      <c r="AC41" s="829"/>
      <c r="AD41" s="829"/>
      <c r="AE41" s="829"/>
      <c r="AF41" s="829"/>
    </row>
    <row r="42" spans="1:32" ht="13.8" thickBot="1">
      <c r="A42" s="824" t="s">
        <v>744</v>
      </c>
      <c r="B42" s="825">
        <f>C42*G36</f>
        <v>3926.73</v>
      </c>
      <c r="C42" s="747">
        <v>0.03</v>
      </c>
      <c r="D42" s="826">
        <f>C42*2</f>
        <v>0.06</v>
      </c>
      <c r="W42" s="829"/>
      <c r="X42" s="829"/>
      <c r="Y42" s="829"/>
      <c r="Z42" s="829"/>
      <c r="AA42" s="829"/>
      <c r="AB42" s="829"/>
      <c r="AC42" s="829"/>
      <c r="AD42" s="829"/>
      <c r="AE42" s="829"/>
      <c r="AF42" s="829"/>
    </row>
    <row r="43" spans="1:32" ht="13.8" thickBot="1">
      <c r="A43" s="827" t="s">
        <v>31</v>
      </c>
      <c r="C43" s="818">
        <f>AVERAGE(C41:C42)</f>
        <v>2.4095354149635956E-2</v>
      </c>
      <c r="D43" s="832">
        <f>AVERAGE(D41:D42)</f>
        <v>4.8190708299271912E-2</v>
      </c>
      <c r="W43" s="829"/>
      <c r="X43" s="829"/>
      <c r="Y43" s="829"/>
      <c r="Z43" s="829"/>
      <c r="AA43" s="829"/>
      <c r="AB43" s="829"/>
      <c r="AC43" s="829"/>
      <c r="AD43" s="829"/>
      <c r="AE43" s="829"/>
      <c r="AF43" s="829"/>
    </row>
    <row r="44" spans="1:32"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</row>
    <row r="45" spans="1:32"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</row>
    <row r="46" spans="1:32">
      <c r="F46" s="828"/>
      <c r="W46" s="829"/>
      <c r="X46" s="829"/>
      <c r="Y46" s="829"/>
      <c r="Z46" s="829"/>
      <c r="AA46" s="829"/>
      <c r="AB46" s="829"/>
      <c r="AC46" s="829"/>
      <c r="AD46" s="829"/>
      <c r="AE46" s="829"/>
      <c r="AF46" s="829"/>
    </row>
    <row r="47" spans="1:32">
      <c r="F47" s="818"/>
      <c r="W47" s="829"/>
      <c r="X47" s="829"/>
      <c r="Y47" s="829"/>
      <c r="Z47" s="829"/>
      <c r="AA47" s="829"/>
      <c r="AB47" s="829"/>
      <c r="AC47" s="829"/>
      <c r="AD47" s="829"/>
      <c r="AE47" s="829"/>
      <c r="AF47" s="829"/>
    </row>
    <row r="48" spans="1:32">
      <c r="F48" s="818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</row>
    <row r="49" spans="23:32">
      <c r="W49" s="829"/>
      <c r="X49" s="829"/>
      <c r="Y49" s="829"/>
      <c r="Z49" s="829"/>
      <c r="AA49" s="829"/>
      <c r="AB49" s="829"/>
      <c r="AC49" s="829"/>
      <c r="AD49" s="829"/>
      <c r="AE49" s="829"/>
      <c r="AF49" s="829"/>
    </row>
    <row r="50" spans="23:32">
      <c r="W50" s="829"/>
      <c r="X50" s="829"/>
      <c r="Y50" s="829"/>
      <c r="Z50" s="829"/>
      <c r="AA50" s="829"/>
      <c r="AB50" s="829"/>
      <c r="AC50" s="829"/>
      <c r="AD50" s="829"/>
      <c r="AE50" s="829"/>
      <c r="AF50" s="829"/>
    </row>
    <row r="51" spans="23:32">
      <c r="W51" s="829"/>
      <c r="X51" s="829"/>
      <c r="Y51" s="829"/>
      <c r="Z51" s="829"/>
      <c r="AA51" s="829"/>
      <c r="AB51" s="829"/>
      <c r="AC51" s="829"/>
      <c r="AD51" s="829"/>
      <c r="AE51" s="829"/>
      <c r="AF51" s="829"/>
    </row>
  </sheetData>
  <mergeCells count="1">
    <mergeCell ref="A1:H1"/>
  </mergeCells>
  <pageMargins left="0.7" right="0.7" top="0.75" bottom="0.75" header="0.3" footer="0.3"/>
  <pageSetup scale="76" orientation="portrait" r:id="rId1"/>
  <headerFooter scaleWithDoc="0">
    <oddHeader>&amp;RExhibit No. __(EMA-6)</oddHeader>
    <oddFooter>&amp;RPage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8671875" defaultRowHeight="13.2"/>
  <cols>
    <col min="1" max="1" width="8.88671875" style="617"/>
    <col min="2" max="2" width="12.33203125" style="617" customWidth="1"/>
    <col min="3" max="16384" width="8.88671875" style="617"/>
  </cols>
  <sheetData>
    <row r="1" spans="1:8" hidden="1">
      <c r="C1" s="786">
        <v>2009</v>
      </c>
      <c r="D1" s="786">
        <v>2010</v>
      </c>
      <c r="E1" s="786">
        <v>2011</v>
      </c>
      <c r="F1" s="786">
        <v>2012</v>
      </c>
      <c r="G1" s="786">
        <v>2013</v>
      </c>
      <c r="H1" s="786">
        <v>2014</v>
      </c>
    </row>
    <row r="2" spans="1:8" hidden="1">
      <c r="A2" s="617" t="s">
        <v>60</v>
      </c>
    </row>
    <row r="3" spans="1:8" hidden="1">
      <c r="B3" s="617" t="s">
        <v>59</v>
      </c>
      <c r="C3" s="617">
        <v>57116</v>
      </c>
      <c r="D3" s="617">
        <v>81955</v>
      </c>
      <c r="E3" s="617">
        <v>84081</v>
      </c>
      <c r="F3" s="617">
        <v>85247</v>
      </c>
      <c r="G3" s="617">
        <v>91466</v>
      </c>
      <c r="H3" s="617">
        <v>102620</v>
      </c>
    </row>
    <row r="4" spans="1:8" hidden="1">
      <c r="B4" s="617" t="s">
        <v>58</v>
      </c>
      <c r="C4" s="617">
        <v>677646</v>
      </c>
      <c r="D4" s="617">
        <v>692689</v>
      </c>
      <c r="E4" s="617">
        <v>706894</v>
      </c>
      <c r="F4" s="617">
        <v>717448</v>
      </c>
      <c r="G4" s="617">
        <v>738315</v>
      </c>
      <c r="H4" s="617">
        <v>746101</v>
      </c>
    </row>
    <row r="5" spans="1:8" hidden="1">
      <c r="B5" s="617" t="s">
        <v>57</v>
      </c>
      <c r="C5" s="617">
        <v>301090</v>
      </c>
      <c r="D5" s="617">
        <v>312505</v>
      </c>
      <c r="E5" s="617">
        <v>328012</v>
      </c>
      <c r="F5" s="617">
        <v>342382</v>
      </c>
      <c r="G5" s="617">
        <v>359941</v>
      </c>
      <c r="H5" s="617">
        <v>371971</v>
      </c>
    </row>
    <row r="6" spans="1:8" hidden="1">
      <c r="B6" s="617" t="s">
        <v>56</v>
      </c>
      <c r="C6" s="617">
        <v>602201</v>
      </c>
      <c r="D6" s="617">
        <v>642143</v>
      </c>
      <c r="E6" s="617">
        <v>696082</v>
      </c>
      <c r="F6" s="617">
        <v>743732</v>
      </c>
      <c r="G6" s="617">
        <v>796640</v>
      </c>
      <c r="H6" s="617">
        <v>842795</v>
      </c>
    </row>
    <row r="7" spans="1:8" hidden="1">
      <c r="B7" s="787" t="s">
        <v>55</v>
      </c>
      <c r="C7" s="787">
        <v>98727</v>
      </c>
      <c r="D7" s="787">
        <v>120996</v>
      </c>
      <c r="E7" s="787">
        <v>140218</v>
      </c>
      <c r="F7" s="787">
        <v>155104</v>
      </c>
      <c r="G7" s="787">
        <v>179134</v>
      </c>
      <c r="H7" s="787">
        <v>196867</v>
      </c>
    </row>
    <row r="8" spans="1:8" hidden="1">
      <c r="A8" s="617" t="s">
        <v>698</v>
      </c>
    </row>
    <row r="9" spans="1:8" hidden="1">
      <c r="B9" s="617" t="s">
        <v>59</v>
      </c>
      <c r="C9" s="617">
        <v>9302</v>
      </c>
      <c r="D9" s="617">
        <v>12606</v>
      </c>
      <c r="E9" s="617">
        <v>3744</v>
      </c>
      <c r="F9" s="617">
        <v>4369</v>
      </c>
      <c r="G9" s="617">
        <v>17667</v>
      </c>
      <c r="H9" s="617">
        <v>20242</v>
      </c>
    </row>
    <row r="10" spans="1:8" hidden="1">
      <c r="B10" s="617" t="s">
        <v>58</v>
      </c>
      <c r="C10" s="617">
        <v>255390</v>
      </c>
      <c r="D10" s="617">
        <v>272340</v>
      </c>
      <c r="E10" s="617">
        <v>286300</v>
      </c>
      <c r="F10" s="617">
        <v>300170</v>
      </c>
      <c r="G10" s="617">
        <v>314599</v>
      </c>
      <c r="H10" s="617">
        <v>325531</v>
      </c>
    </row>
    <row r="11" spans="1:8" hidden="1">
      <c r="B11" s="617" t="s">
        <v>57</v>
      </c>
      <c r="C11" s="617">
        <v>100649</v>
      </c>
      <c r="D11" s="617">
        <v>106041</v>
      </c>
      <c r="E11" s="617">
        <v>111144</v>
      </c>
      <c r="F11" s="617">
        <v>116316</v>
      </c>
      <c r="G11" s="617">
        <v>122308</v>
      </c>
      <c r="H11" s="617">
        <v>123869</v>
      </c>
    </row>
    <row r="12" spans="1:8" hidden="1">
      <c r="B12" s="617" t="s">
        <v>56</v>
      </c>
      <c r="C12" s="617">
        <v>181327</v>
      </c>
      <c r="D12" s="617">
        <v>194593</v>
      </c>
      <c r="E12" s="617">
        <v>209101</v>
      </c>
      <c r="F12" s="617">
        <v>221408</v>
      </c>
      <c r="G12" s="617">
        <v>236201</v>
      </c>
      <c r="H12" s="617">
        <v>252722</v>
      </c>
    </row>
    <row r="13" spans="1:8" hidden="1">
      <c r="B13" s="787" t="s">
        <v>55</v>
      </c>
      <c r="C13" s="787">
        <v>39153</v>
      </c>
      <c r="D13" s="787">
        <v>43819</v>
      </c>
      <c r="E13" s="787">
        <v>56694</v>
      </c>
      <c r="F13" s="787">
        <v>61871</v>
      </c>
      <c r="G13" s="787">
        <v>58357</v>
      </c>
      <c r="H13" s="787">
        <v>65720</v>
      </c>
    </row>
    <row r="14" spans="1:8" hidden="1"/>
    <row r="15" spans="1:8">
      <c r="A15" s="617" t="s">
        <v>699</v>
      </c>
      <c r="C15" s="786">
        <v>2009</v>
      </c>
      <c r="D15" s="786">
        <v>2010</v>
      </c>
      <c r="E15" s="786">
        <v>2011</v>
      </c>
      <c r="F15" s="786">
        <v>2012</v>
      </c>
      <c r="G15" s="786">
        <v>2013</v>
      </c>
      <c r="H15" s="786">
        <v>2014</v>
      </c>
    </row>
    <row r="16" spans="1:8">
      <c r="B16" s="617" t="s">
        <v>59</v>
      </c>
      <c r="C16" s="617">
        <f t="shared" ref="C16:H20" si="0">C3-C9</f>
        <v>47814</v>
      </c>
      <c r="D16" s="617">
        <f t="shared" si="0"/>
        <v>69349</v>
      </c>
      <c r="E16" s="617">
        <f t="shared" si="0"/>
        <v>80337</v>
      </c>
      <c r="F16" s="617">
        <f t="shared" si="0"/>
        <v>80878</v>
      </c>
      <c r="G16" s="617">
        <f t="shared" si="0"/>
        <v>73799</v>
      </c>
      <c r="H16" s="617">
        <f t="shared" si="0"/>
        <v>82378</v>
      </c>
    </row>
    <row r="17" spans="2:8">
      <c r="B17" s="617" t="s">
        <v>58</v>
      </c>
      <c r="C17" s="617">
        <f t="shared" si="0"/>
        <v>422256</v>
      </c>
      <c r="D17" s="617">
        <f t="shared" si="0"/>
        <v>420349</v>
      </c>
      <c r="E17" s="617">
        <f t="shared" si="0"/>
        <v>420594</v>
      </c>
      <c r="F17" s="617">
        <f t="shared" si="0"/>
        <v>417278</v>
      </c>
      <c r="G17" s="617">
        <f t="shared" si="0"/>
        <v>423716</v>
      </c>
      <c r="H17" s="617">
        <f t="shared" si="0"/>
        <v>420570</v>
      </c>
    </row>
    <row r="18" spans="2:8">
      <c r="B18" s="617" t="s">
        <v>57</v>
      </c>
      <c r="C18" s="617">
        <f t="shared" si="0"/>
        <v>200441</v>
      </c>
      <c r="D18" s="617">
        <f t="shared" si="0"/>
        <v>206464</v>
      </c>
      <c r="E18" s="617">
        <f t="shared" si="0"/>
        <v>216868</v>
      </c>
      <c r="F18" s="617">
        <f t="shared" si="0"/>
        <v>226066</v>
      </c>
      <c r="G18" s="617">
        <f t="shared" si="0"/>
        <v>237633</v>
      </c>
      <c r="H18" s="617">
        <f t="shared" si="0"/>
        <v>248102</v>
      </c>
    </row>
    <row r="19" spans="2:8">
      <c r="B19" s="617" t="s">
        <v>56</v>
      </c>
      <c r="C19" s="617">
        <f t="shared" si="0"/>
        <v>420874</v>
      </c>
      <c r="D19" s="617">
        <f t="shared" si="0"/>
        <v>447550</v>
      </c>
      <c r="E19" s="617">
        <f t="shared" si="0"/>
        <v>486981</v>
      </c>
      <c r="F19" s="617">
        <f t="shared" si="0"/>
        <v>522324</v>
      </c>
      <c r="G19" s="617">
        <f t="shared" si="0"/>
        <v>560439</v>
      </c>
      <c r="H19" s="617">
        <f t="shared" si="0"/>
        <v>590073</v>
      </c>
    </row>
    <row r="20" spans="2:8">
      <c r="B20" s="617" t="s">
        <v>55</v>
      </c>
      <c r="C20" s="787">
        <f t="shared" si="0"/>
        <v>59574</v>
      </c>
      <c r="D20" s="787">
        <f t="shared" si="0"/>
        <v>77177</v>
      </c>
      <c r="E20" s="787">
        <f t="shared" si="0"/>
        <v>83524</v>
      </c>
      <c r="F20" s="787">
        <f t="shared" si="0"/>
        <v>93233</v>
      </c>
      <c r="G20" s="787">
        <f t="shared" si="0"/>
        <v>120777</v>
      </c>
      <c r="H20" s="787">
        <f t="shared" si="0"/>
        <v>131147</v>
      </c>
    </row>
    <row r="23" spans="2:8" hidden="1">
      <c r="C23" s="786">
        <v>2009</v>
      </c>
      <c r="D23" s="786">
        <v>2010</v>
      </c>
      <c r="E23" s="786">
        <v>2011</v>
      </c>
      <c r="F23" s="786">
        <v>2012</v>
      </c>
      <c r="G23" s="786">
        <v>2013</v>
      </c>
      <c r="H23" s="786">
        <v>2014</v>
      </c>
    </row>
    <row r="24" spans="2:8" hidden="1">
      <c r="B24" s="617" t="s">
        <v>59</v>
      </c>
      <c r="C24" s="617">
        <v>47814</v>
      </c>
      <c r="D24" s="617">
        <v>69349</v>
      </c>
      <c r="E24" s="617">
        <v>80337</v>
      </c>
      <c r="F24" s="617">
        <v>80878</v>
      </c>
      <c r="G24" s="617">
        <v>73799</v>
      </c>
      <c r="H24" s="617">
        <v>82378</v>
      </c>
    </row>
    <row r="25" spans="2:8" hidden="1">
      <c r="B25" s="617" t="s">
        <v>55</v>
      </c>
      <c r="C25" s="617">
        <v>59574</v>
      </c>
      <c r="D25" s="617">
        <v>77177</v>
      </c>
      <c r="E25" s="617">
        <v>83524</v>
      </c>
      <c r="F25" s="617">
        <v>93233</v>
      </c>
      <c r="G25" s="617">
        <v>120777</v>
      </c>
      <c r="H25" s="617">
        <v>131147</v>
      </c>
    </row>
    <row r="26" spans="2:8" hidden="1">
      <c r="C26" s="786">
        <v>2009</v>
      </c>
      <c r="D26" s="786">
        <v>2010</v>
      </c>
      <c r="E26" s="786">
        <v>2011</v>
      </c>
      <c r="F26" s="786">
        <v>2012</v>
      </c>
      <c r="G26" s="786">
        <v>2013</v>
      </c>
      <c r="H26" s="786">
        <v>2014</v>
      </c>
    </row>
    <row r="27" spans="2:8" hidden="1">
      <c r="B27" s="617" t="s">
        <v>58</v>
      </c>
      <c r="C27" s="617">
        <v>422256</v>
      </c>
      <c r="D27" s="617">
        <v>420349</v>
      </c>
      <c r="E27" s="617">
        <v>420594</v>
      </c>
      <c r="F27" s="617">
        <v>417278</v>
      </c>
      <c r="G27" s="617">
        <v>423716</v>
      </c>
      <c r="H27" s="617">
        <v>420570</v>
      </c>
    </row>
    <row r="28" spans="2:8" hidden="1">
      <c r="B28" s="617" t="s">
        <v>56</v>
      </c>
      <c r="C28" s="617">
        <v>420874</v>
      </c>
      <c r="D28" s="617">
        <v>447550</v>
      </c>
      <c r="E28" s="617">
        <v>486981</v>
      </c>
      <c r="F28" s="617">
        <v>522324</v>
      </c>
      <c r="G28" s="617">
        <v>560439</v>
      </c>
      <c r="H28" s="617">
        <v>590073</v>
      </c>
    </row>
    <row r="29" spans="2:8" hidden="1">
      <c r="C29" s="786">
        <v>2009</v>
      </c>
      <c r="D29" s="786">
        <v>2010</v>
      </c>
      <c r="E29" s="786">
        <v>2011</v>
      </c>
      <c r="F29" s="786">
        <v>2012</v>
      </c>
      <c r="G29" s="786">
        <v>2013</v>
      </c>
      <c r="H29" s="786">
        <v>2014</v>
      </c>
    </row>
    <row r="30" spans="2:8" hidden="1">
      <c r="B30" s="617" t="s">
        <v>57</v>
      </c>
      <c r="C30" s="617">
        <v>200441</v>
      </c>
      <c r="D30" s="617">
        <v>206464</v>
      </c>
      <c r="E30" s="617">
        <v>216868</v>
      </c>
      <c r="F30" s="617">
        <v>226066</v>
      </c>
      <c r="G30" s="617">
        <v>237633</v>
      </c>
      <c r="H30" s="617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J11" sqref="J11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27"/>
      <c r="B1" s="912" t="s">
        <v>487</v>
      </c>
      <c r="C1" s="912"/>
      <c r="D1" s="912"/>
      <c r="E1" s="912"/>
      <c r="F1" s="912"/>
      <c r="G1" s="912"/>
      <c r="H1" s="912"/>
      <c r="I1" s="912"/>
      <c r="J1" s="912"/>
      <c r="K1" s="527"/>
      <c r="L1" s="527"/>
      <c r="M1" s="527"/>
      <c r="N1" s="527"/>
      <c r="P1" s="41"/>
      <c r="Q1" s="84"/>
    </row>
    <row r="2" spans="1:30" ht="21" thickBot="1">
      <c r="B2" s="924" t="s">
        <v>509</v>
      </c>
      <c r="C2" s="924"/>
      <c r="D2" s="924"/>
      <c r="E2" s="924"/>
      <c r="F2" s="924"/>
      <c r="G2" s="924"/>
      <c r="H2" s="924"/>
      <c r="I2" s="924"/>
      <c r="J2" s="924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31" t="s">
        <v>3</v>
      </c>
      <c r="B4" s="291"/>
      <c r="C4" s="291"/>
      <c r="D4" s="291"/>
      <c r="E4" s="292" t="s">
        <v>231</v>
      </c>
      <c r="F4" s="292" t="s">
        <v>30</v>
      </c>
      <c r="G4" s="293" t="s">
        <v>113</v>
      </c>
      <c r="H4" s="292" t="s">
        <v>48</v>
      </c>
      <c r="I4" s="293"/>
      <c r="J4" s="294" t="s">
        <v>125</v>
      </c>
      <c r="U4" s="476"/>
      <c r="V4" s="475"/>
      <c r="W4" s="186"/>
    </row>
    <row r="5" spans="1:30" ht="14.4" customHeight="1">
      <c r="A5" s="331" t="s">
        <v>502</v>
      </c>
      <c r="B5" s="295" t="s">
        <v>99</v>
      </c>
      <c r="C5" s="295"/>
      <c r="D5" s="295" t="s">
        <v>100</v>
      </c>
      <c r="E5" s="292" t="s">
        <v>510</v>
      </c>
      <c r="F5" s="292">
        <v>2016</v>
      </c>
      <c r="G5" s="292" t="s">
        <v>119</v>
      </c>
      <c r="H5" s="292" t="s">
        <v>510</v>
      </c>
      <c r="I5" s="293" t="s">
        <v>503</v>
      </c>
      <c r="J5" s="297"/>
      <c r="U5" s="476"/>
      <c r="V5" s="476"/>
      <c r="W5" s="186"/>
      <c r="AB5" s="186"/>
    </row>
    <row r="6" spans="1:30">
      <c r="A6" s="188"/>
      <c r="B6" s="298"/>
      <c r="C6" s="298"/>
      <c r="D6" s="298"/>
      <c r="E6" s="299" t="s">
        <v>121</v>
      </c>
      <c r="F6" s="299" t="s">
        <v>122</v>
      </c>
      <c r="G6" s="299" t="s">
        <v>420</v>
      </c>
      <c r="H6" s="299" t="s">
        <v>123</v>
      </c>
      <c r="I6" s="300" t="s">
        <v>124</v>
      </c>
      <c r="J6" s="299" t="s">
        <v>254</v>
      </c>
      <c r="K6" s="180" t="s">
        <v>257</v>
      </c>
      <c r="L6" s="180" t="s">
        <v>133</v>
      </c>
      <c r="M6" s="181" t="s">
        <v>258</v>
      </c>
      <c r="U6" s="474"/>
      <c r="V6" s="188"/>
      <c r="W6" s="188"/>
      <c r="X6" s="188"/>
      <c r="Y6" s="188"/>
      <c r="Z6" s="186"/>
    </row>
    <row r="7" spans="1:30">
      <c r="A7" s="188">
        <v>1</v>
      </c>
      <c r="B7" s="301" t="s">
        <v>101</v>
      </c>
      <c r="C7" s="301" t="s">
        <v>120</v>
      </c>
      <c r="D7" s="302" t="s">
        <v>102</v>
      </c>
      <c r="E7" s="303">
        <f>'09.2014 Rev Model'!D25</f>
        <v>2462067</v>
      </c>
      <c r="F7" s="303">
        <f>'2016 Customers and Demand'!H6</f>
        <v>2512732</v>
      </c>
      <c r="G7" s="305">
        <f>(F7-E7)/E7</f>
        <v>2.0578237716520308E-2</v>
      </c>
      <c r="H7" s="303">
        <f>'09.2014 Rev Model'!D111</f>
        <v>20927569.5</v>
      </c>
      <c r="I7" s="305">
        <f>H7/$H$25</f>
        <v>4.1856674749836911E-2</v>
      </c>
      <c r="J7" s="30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80"/>
      <c r="U7" s="473"/>
      <c r="V7" s="189"/>
      <c r="W7" s="187"/>
      <c r="X7" s="187"/>
      <c r="Y7" s="187"/>
      <c r="AB7" s="187"/>
      <c r="AC7" s="187"/>
    </row>
    <row r="8" spans="1:30">
      <c r="A8" s="188">
        <v>2</v>
      </c>
      <c r="B8" s="301" t="s">
        <v>103</v>
      </c>
      <c r="C8" s="301" t="s">
        <v>120</v>
      </c>
      <c r="D8" s="302" t="s">
        <v>104</v>
      </c>
      <c r="E8" s="303">
        <f>'09.2014 Rev Model'!E25</f>
        <v>364551.99999999994</v>
      </c>
      <c r="F8" s="303">
        <f>'2016 Customers and Demand'!H7+'2016 Customers and Demand'!H8</f>
        <v>379313.78865559708</v>
      </c>
      <c r="G8" s="305">
        <f t="shared" ref="G8:G22" si="0">(F8-E8)/E8</f>
        <v>4.0492957535816942E-2</v>
      </c>
      <c r="H8" s="303">
        <f>'09.2014 Rev Model'!E111</f>
        <v>6561935.9999999991</v>
      </c>
      <c r="I8" s="305">
        <f>H8/$H$25</f>
        <v>1.3124353541449033E-2</v>
      </c>
      <c r="J8" s="30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80"/>
      <c r="U8" s="473"/>
      <c r="V8" s="189"/>
      <c r="W8" s="187"/>
      <c r="X8" s="187"/>
      <c r="Y8" s="187"/>
      <c r="AB8" s="187"/>
      <c r="AC8" s="187"/>
    </row>
    <row r="9" spans="1:30">
      <c r="A9" s="188">
        <v>3</v>
      </c>
      <c r="B9" s="301" t="s">
        <v>105</v>
      </c>
      <c r="C9" s="301" t="s">
        <v>363</v>
      </c>
      <c r="D9" s="302" t="s">
        <v>106</v>
      </c>
      <c r="E9" s="303">
        <f>'09.2014 Rev Model'!F25</f>
        <v>24110</v>
      </c>
      <c r="F9" s="303">
        <f>'2016 Customers and Demand'!H9+'2016 Customers and Demand'!H10</f>
        <v>24225.282700404532</v>
      </c>
      <c r="G9" s="305">
        <f t="shared" si="0"/>
        <v>4.7815305020544206E-3</v>
      </c>
      <c r="H9" s="303">
        <f>'09.2014 Rev Model'!F117</f>
        <v>12055000</v>
      </c>
      <c r="I9" s="305">
        <f t="shared" ref="I9:I10" si="1">H9/$H$25</f>
        <v>2.4110884644740229E-2</v>
      </c>
      <c r="J9" s="30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80"/>
      <c r="U9" s="473"/>
      <c r="V9" s="189"/>
      <c r="W9" s="187"/>
      <c r="X9" s="187"/>
      <c r="Y9" s="187"/>
      <c r="AB9" s="187"/>
      <c r="AC9" s="187"/>
    </row>
    <row r="10" spans="1:30">
      <c r="A10" s="188">
        <v>4</v>
      </c>
      <c r="B10" s="301" t="s">
        <v>107</v>
      </c>
      <c r="C10" s="301" t="s">
        <v>363</v>
      </c>
      <c r="D10" s="302" t="s">
        <v>108</v>
      </c>
      <c r="E10" s="303">
        <f>'09.2014 Rev Model'!G25</f>
        <v>252</v>
      </c>
      <c r="F10" s="303">
        <f>'2016 Customers and Demand'!H11</f>
        <v>251.68890808275614</v>
      </c>
      <c r="G10" s="305">
        <f t="shared" si="0"/>
        <v>-1.234491735094671E-3</v>
      </c>
      <c r="H10" s="303">
        <f>'09.2014 Rev Model'!G117</f>
        <v>5292000</v>
      </c>
      <c r="I10" s="305">
        <f t="shared" si="1"/>
        <v>1.0584388348400272E-2</v>
      </c>
      <c r="J10" s="305">
        <f t="shared" si="2"/>
        <v>-1.3066339937132471E-5</v>
      </c>
      <c r="K10" s="175"/>
      <c r="L10" s="173"/>
      <c r="M10" s="173"/>
      <c r="N10" s="173"/>
      <c r="O10" s="173"/>
      <c r="P10" s="173"/>
      <c r="T10" s="380"/>
      <c r="U10" s="473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01" t="s">
        <v>109</v>
      </c>
      <c r="C11" s="301" t="s">
        <v>120</v>
      </c>
      <c r="D11" s="302" t="s">
        <v>110</v>
      </c>
      <c r="E11" s="303">
        <f>'09.2014 Rev Model'!H25</f>
        <v>29215.99999999996</v>
      </c>
      <c r="F11" s="303">
        <f>'2016 Customers and Demand'!H13+'2016 Customers and Demand'!H14+'2016 Customers and Demand'!H15</f>
        <v>34477.714392681184</v>
      </c>
      <c r="G11" s="305">
        <f t="shared" si="0"/>
        <v>0.18009701508355802</v>
      </c>
      <c r="H11" s="303">
        <f>'09.2014 Rev Model'!H111</f>
        <v>525887.9999999993</v>
      </c>
      <c r="I11" s="305">
        <f t="shared" ref="I11:I22" si="3">H11/$H$25</f>
        <v>1.0518145917920475E-3</v>
      </c>
      <c r="J11" s="30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80"/>
      <c r="U11" s="473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07" t="s">
        <v>111</v>
      </c>
      <c r="C12" s="307" t="s">
        <v>120</v>
      </c>
      <c r="D12" s="307" t="s">
        <v>112</v>
      </c>
      <c r="E12" s="308"/>
      <c r="F12" s="308"/>
      <c r="G12" s="309"/>
      <c r="H12" s="308"/>
      <c r="I12" s="309"/>
      <c r="J12" s="30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01" t="s">
        <v>101</v>
      </c>
      <c r="C13" s="301" t="s">
        <v>114</v>
      </c>
      <c r="D13" s="302" t="s">
        <v>102</v>
      </c>
      <c r="E13" s="303">
        <f>'09.2014 Rev Model'!D23</f>
        <v>2378478031</v>
      </c>
      <c r="F13" s="303">
        <f>'2016 Forecast Energy'!D5</f>
        <v>2447894612.94909</v>
      </c>
      <c r="G13" s="305">
        <f t="shared" si="0"/>
        <v>2.9185294564148111E-2</v>
      </c>
      <c r="H13" s="303">
        <f>'09.2014 Rev Model'!D152-H7</f>
        <v>193913529.98999998</v>
      </c>
      <c r="I13" s="305">
        <f t="shared" si="3"/>
        <v>0.38784129014046159</v>
      </c>
      <c r="J13" s="30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73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01" t="s">
        <v>103</v>
      </c>
      <c r="C14" s="301" t="s">
        <v>114</v>
      </c>
      <c r="D14" s="302" t="s">
        <v>104</v>
      </c>
      <c r="E14" s="303">
        <f>'09.2014 Rev Model'!E23</f>
        <v>588401236</v>
      </c>
      <c r="F14" s="303">
        <f>'2016 Forecast Energy'!D6+'2016 Forecast Energy'!D7</f>
        <v>591388923.24195552</v>
      </c>
      <c r="G14" s="305">
        <f t="shared" si="0"/>
        <v>5.0776359041426605E-3</v>
      </c>
      <c r="H14" s="303">
        <f>'09.2014 Rev Model'!E152-H8-H20</f>
        <v>62328506.609999999</v>
      </c>
      <c r="I14" s="305">
        <f t="shared" si="3"/>
        <v>0.12466158713833586</v>
      </c>
      <c r="J14" s="30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73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01" t="s">
        <v>105</v>
      </c>
      <c r="C15" s="301" t="s">
        <v>114</v>
      </c>
      <c r="D15" s="302" t="s">
        <v>106</v>
      </c>
      <c r="E15" s="303">
        <f>'09.2014 Rev Model'!F23</f>
        <v>1419228270.9999998</v>
      </c>
      <c r="F15" s="303">
        <f>'2016 Forecast Energy'!D8+'2016 Forecast Energy'!D9+'2016 Forecast Energy'!D11</f>
        <v>1431149605.8904219</v>
      </c>
      <c r="G15" s="305">
        <f t="shared" si="0"/>
        <v>8.3998713484070026E-3</v>
      </c>
      <c r="H15" s="303">
        <f>'09.2014 Rev Model'!F152-H9-H21</f>
        <v>101678503.13000001</v>
      </c>
      <c r="I15" s="305">
        <f t="shared" si="3"/>
        <v>0.20336446784050505</v>
      </c>
      <c r="J15" s="30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73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01" t="s">
        <v>107</v>
      </c>
      <c r="C16" s="301" t="s">
        <v>114</v>
      </c>
      <c r="D16" s="302" t="s">
        <v>108</v>
      </c>
      <c r="E16" s="303">
        <f>'09.2014 Rev Model'!G23</f>
        <v>1105372136</v>
      </c>
      <c r="F16" s="303">
        <f>'2016 Forecast Energy'!D10</f>
        <v>1114987712.0720894</v>
      </c>
      <c r="G16" s="305">
        <f t="shared" si="0"/>
        <v>8.6989492126020394E-3</v>
      </c>
      <c r="H16" s="303">
        <f>'09.2014 Rev Model'!G152-H10-H22</f>
        <v>53481705.540000007</v>
      </c>
      <c r="I16" s="305">
        <f t="shared" si="3"/>
        <v>0.10696733578423098</v>
      </c>
      <c r="J16" s="30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73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01" t="s">
        <v>109</v>
      </c>
      <c r="C17" s="301" t="s">
        <v>114</v>
      </c>
      <c r="D17" s="302" t="s">
        <v>110</v>
      </c>
      <c r="E17" s="303">
        <f>'09.2014 Rev Model'!H23</f>
        <v>137227044</v>
      </c>
      <c r="F17" s="303">
        <f>'2016 Forecast Energy'!D12+'2016 Forecast Energy'!D13</f>
        <v>131725347.36303267</v>
      </c>
      <c r="G17" s="305">
        <f t="shared" si="0"/>
        <v>-4.0091927047319703E-2</v>
      </c>
      <c r="H17" s="303">
        <f>'09.2014 Rev Model'!H152-H11-H23</f>
        <v>10944582.789999997</v>
      </c>
      <c r="I17" s="305">
        <f>H17/$H$25</f>
        <v>2.1889968737826553E-2</v>
      </c>
      <c r="J17" s="30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73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07" t="s">
        <v>111</v>
      </c>
      <c r="C18" s="307" t="s">
        <v>114</v>
      </c>
      <c r="D18" s="307" t="s">
        <v>112</v>
      </c>
      <c r="E18" s="308">
        <f>'09.2014 Rev Model'!I23</f>
        <v>25127765</v>
      </c>
      <c r="F18" s="308">
        <f>'2016 Forecast Energy'!D14</f>
        <v>24890112.090452805</v>
      </c>
      <c r="G18" s="309">
        <f t="shared" si="0"/>
        <v>-9.4577814440398832E-3</v>
      </c>
      <c r="H18" s="308">
        <f>'09.2014 Rev Model'!I152</f>
        <v>7019745.6002651993</v>
      </c>
      <c r="I18" s="309">
        <f t="shared" si="3"/>
        <v>1.4040006337902694E-2</v>
      </c>
      <c r="J18" s="30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73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01" t="s">
        <v>101</v>
      </c>
      <c r="C19" s="301" t="s">
        <v>115</v>
      </c>
      <c r="D19" s="302" t="s">
        <v>102</v>
      </c>
      <c r="E19" s="303"/>
      <c r="F19" s="310"/>
      <c r="G19" s="305"/>
      <c r="H19" s="303">
        <v>0</v>
      </c>
      <c r="I19" s="305"/>
      <c r="J19" s="30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01" t="s">
        <v>103</v>
      </c>
      <c r="C20" s="301" t="s">
        <v>115</v>
      </c>
      <c r="D20" s="302" t="s">
        <v>104</v>
      </c>
      <c r="E20" s="303">
        <f>'09.2014 Rev Model'!E27</f>
        <v>402284</v>
      </c>
      <c r="F20" s="303">
        <f>'2016 Customers and Demand'!G42+'2016 Customers and Demand'!G43</f>
        <v>364641</v>
      </c>
      <c r="G20" s="305">
        <f t="shared" si="0"/>
        <v>-9.3573197044873768E-2</v>
      </c>
      <c r="H20" s="303">
        <f>'09.2014 Rev Model'!E118</f>
        <v>2413704</v>
      </c>
      <c r="I20" s="305">
        <f t="shared" si="3"/>
        <v>4.8275851273785206E-3</v>
      </c>
      <c r="J20" s="30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73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01" t="s">
        <v>105</v>
      </c>
      <c r="C21" s="301" t="s">
        <v>115</v>
      </c>
      <c r="D21" s="302" t="s">
        <v>106</v>
      </c>
      <c r="E21" s="303">
        <f>'09.2014 Rev Model'!F27</f>
        <v>2748136</v>
      </c>
      <c r="F21" s="303">
        <f>'2016 Customers and Demand'!G44+'2016 Customers and Demand'!G45</f>
        <v>2697553.041666667</v>
      </c>
      <c r="G21" s="305">
        <f t="shared" si="0"/>
        <v>-1.8406279140964283E-2</v>
      </c>
      <c r="H21" s="303">
        <f>'09.2014 Rev Model'!F118+'09.2014 Rev Model'!F120</f>
        <v>16418326</v>
      </c>
      <c r="I21" s="305">
        <f t="shared" si="3"/>
        <v>3.2837856843279903E-2</v>
      </c>
      <c r="J21" s="30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784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01" t="s">
        <v>107</v>
      </c>
      <c r="C22" s="301" t="s">
        <v>115</v>
      </c>
      <c r="D22" s="302" t="s">
        <v>108</v>
      </c>
      <c r="E22" s="303">
        <f>'09.2014 Rev Model'!G27</f>
        <v>1276783</v>
      </c>
      <c r="F22" s="303">
        <f>'2016 Customers and Demand'!G46</f>
        <v>1168073</v>
      </c>
      <c r="G22" s="305">
        <f t="shared" si="0"/>
        <v>-8.5143677508237495E-2</v>
      </c>
      <c r="H22" s="303">
        <f>'09.2014 Rev Model'!G118+'09.2014 Rev Model'!G120</f>
        <v>6420657.5</v>
      </c>
      <c r="I22" s="305">
        <f t="shared" si="3"/>
        <v>1.2841786173860323E-2</v>
      </c>
      <c r="J22" s="30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73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01" t="s">
        <v>109</v>
      </c>
      <c r="C23" s="301" t="s">
        <v>115</v>
      </c>
      <c r="D23" s="302" t="s">
        <v>110</v>
      </c>
      <c r="E23" s="303"/>
      <c r="F23" s="311"/>
      <c r="G23" s="312"/>
      <c r="H23" s="303"/>
      <c r="I23" s="305"/>
      <c r="J23" s="30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13" t="s">
        <v>111</v>
      </c>
      <c r="C24" s="313" t="s">
        <v>115</v>
      </c>
      <c r="D24" s="313" t="s">
        <v>112</v>
      </c>
      <c r="E24" s="394"/>
      <c r="F24" s="314"/>
      <c r="G24" s="315"/>
      <c r="H24" s="394"/>
      <c r="I24" s="316"/>
      <c r="J24" s="306"/>
      <c r="M24" s="530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291" t="s">
        <v>8</v>
      </c>
      <c r="C25" s="291"/>
      <c r="D25" s="291"/>
      <c r="E25" s="303"/>
      <c r="F25" s="317"/>
      <c r="G25" s="294"/>
      <c r="H25" s="420">
        <f>SUM(H7:H24)</f>
        <v>499981654.66026521</v>
      </c>
      <c r="I25" s="305">
        <f>SUM(I7:I24)</f>
        <v>1</v>
      </c>
      <c r="J25" s="478">
        <f>SUM(J7:J24)</f>
        <v>1.3115466412629643E-2</v>
      </c>
      <c r="K25" s="182"/>
      <c r="L25" s="182"/>
      <c r="M25" s="182"/>
      <c r="P25" s="174">
        <f>J25-P24</f>
        <v>1.4629338875140539E-2</v>
      </c>
      <c r="V25" s="318"/>
    </row>
    <row r="26" spans="1:30" ht="15.6" thickTop="1" thickBot="1">
      <c r="A26" s="188"/>
      <c r="B26" s="291"/>
      <c r="C26" s="291"/>
      <c r="D26" s="291"/>
      <c r="E26" s="303"/>
      <c r="F26" s="317"/>
      <c r="G26" s="319"/>
      <c r="H26" s="420"/>
      <c r="I26" s="304"/>
      <c r="J26" s="318"/>
    </row>
    <row r="27" spans="1:30">
      <c r="A27" s="188"/>
      <c r="B27" s="426" t="s">
        <v>130</v>
      </c>
      <c r="C27" s="427"/>
      <c r="D27" s="427"/>
      <c r="E27" s="395">
        <f>SUM(E7:E12)</f>
        <v>2880197</v>
      </c>
      <c r="F27" s="395">
        <f>SUM(F7:F12)</f>
        <v>2951000.4746567658</v>
      </c>
      <c r="G27" s="428">
        <f t="shared" ref="G27:G29" si="8">(F27-E27)/E27</f>
        <v>2.4582858275585252E-2</v>
      </c>
      <c r="H27" s="429"/>
      <c r="I27" s="428"/>
      <c r="J27" s="430"/>
    </row>
    <row r="28" spans="1:30">
      <c r="A28" s="188"/>
      <c r="B28" s="431" t="s">
        <v>131</v>
      </c>
      <c r="C28" s="296"/>
      <c r="D28" s="296"/>
      <c r="E28" s="396">
        <f>SUM(E13:E18)</f>
        <v>5653834483</v>
      </c>
      <c r="F28" s="396">
        <f>SUM(F13:F18)</f>
        <v>5742036313.6070423</v>
      </c>
      <c r="G28" s="305">
        <f t="shared" si="8"/>
        <v>1.5600355983580411E-2</v>
      </c>
      <c r="H28" s="432"/>
      <c r="I28" s="306"/>
      <c r="J28" s="433"/>
    </row>
    <row r="29" spans="1:30">
      <c r="A29" s="188"/>
      <c r="B29" s="431" t="s">
        <v>132</v>
      </c>
      <c r="C29" s="296"/>
      <c r="D29" s="296"/>
      <c r="E29" s="396">
        <f>SUM(E19:E24)</f>
        <v>4427203</v>
      </c>
      <c r="F29" s="396">
        <f>SUM(F19:F24)</f>
        <v>4230267.041666667</v>
      </c>
      <c r="G29" s="305">
        <f t="shared" si="8"/>
        <v>-4.4483155241206024E-2</v>
      </c>
      <c r="H29" s="432"/>
      <c r="I29" s="306"/>
      <c r="J29" s="433"/>
    </row>
    <row r="30" spans="1:30" ht="15" thickBot="1">
      <c r="A30" s="188"/>
      <c r="B30" s="434"/>
      <c r="C30" s="435"/>
      <c r="D30" s="435"/>
      <c r="E30" s="397"/>
      <c r="F30" s="397"/>
      <c r="G30" s="436"/>
      <c r="H30" s="397"/>
      <c r="I30" s="436"/>
      <c r="J30" s="437"/>
    </row>
    <row r="31" spans="1:30">
      <c r="A31" s="188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30">
      <c r="A32" s="188"/>
      <c r="B32" s="320"/>
      <c r="C32" s="320"/>
      <c r="D32" s="320"/>
      <c r="E32" s="297"/>
      <c r="F32" s="297"/>
      <c r="G32" s="320"/>
      <c r="H32" s="438"/>
      <c r="I32" s="439"/>
      <c r="J32" s="30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Header>&amp;RExhibit No. __(EMA-6)</oddHeader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25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25"/>
      <c r="R6" s="925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25"/>
      <c r="Q7" s="925"/>
      <c r="R7" s="925"/>
    </row>
    <row r="8" spans="1:18">
      <c r="A8" s="93" t="s">
        <v>155</v>
      </c>
      <c r="B8" s="95" t="s">
        <v>156</v>
      </c>
      <c r="C8" s="103"/>
      <c r="D8" s="575">
        <v>1562090323.9480615</v>
      </c>
      <c r="E8" s="575">
        <v>411760124.95869529</v>
      </c>
      <c r="F8" s="575">
        <v>1262061453.0310712</v>
      </c>
      <c r="G8" s="575">
        <v>126000000</v>
      </c>
      <c r="H8" s="575">
        <v>51176200.546248734</v>
      </c>
      <c r="I8" s="575"/>
      <c r="L8" s="96" t="s">
        <v>157</v>
      </c>
      <c r="N8" s="104">
        <v>1</v>
      </c>
      <c r="P8" s="925"/>
      <c r="Q8" s="925"/>
      <c r="R8" s="925"/>
    </row>
    <row r="9" spans="1:18">
      <c r="A9" s="93" t="s">
        <v>155</v>
      </c>
      <c r="B9" s="95" t="s">
        <v>158</v>
      </c>
      <c r="C9" s="103"/>
      <c r="D9" s="575">
        <v>532041223.03140402</v>
      </c>
      <c r="E9" s="575">
        <v>184890135.04130465</v>
      </c>
      <c r="F9" s="575">
        <v>166633499.96892866</v>
      </c>
      <c r="G9" s="575">
        <v>558890760</v>
      </c>
      <c r="H9" s="575">
        <v>85950103.453751266</v>
      </c>
      <c r="I9" s="575"/>
      <c r="K9" s="102" t="s">
        <v>159</v>
      </c>
      <c r="L9" s="95" t="s">
        <v>160</v>
      </c>
      <c r="N9" s="95" t="str">
        <f>CHOOSE(Base1_Billing2,L7,L9)</f>
        <v>BASE TARIFF</v>
      </c>
      <c r="P9" s="925"/>
      <c r="Q9" s="925"/>
      <c r="R9" s="925"/>
    </row>
    <row r="10" spans="1:18">
      <c r="A10" s="93" t="s">
        <v>155</v>
      </c>
      <c r="B10" s="95" t="s">
        <v>161</v>
      </c>
      <c r="C10" s="103"/>
      <c r="D10" s="575">
        <v>349561635.02053469</v>
      </c>
      <c r="E10" s="575"/>
      <c r="F10" s="575"/>
      <c r="G10" s="575">
        <v>420481376</v>
      </c>
      <c r="H10" s="575"/>
      <c r="I10" s="575"/>
      <c r="N10" s="95" t="str">
        <f>CHOOSE(Base1_Billing2,"Base","Billing")</f>
        <v>Base</v>
      </c>
      <c r="P10" s="925"/>
      <c r="Q10" s="925"/>
      <c r="R10" s="925"/>
    </row>
    <row r="11" spans="1:18">
      <c r="B11" s="95" t="s">
        <v>162</v>
      </c>
      <c r="C11" s="103"/>
      <c r="D11" s="575"/>
      <c r="E11" s="575"/>
      <c r="F11" s="575"/>
      <c r="G11" s="575"/>
      <c r="H11" s="575"/>
      <c r="I11" s="575"/>
      <c r="P11" s="925"/>
      <c r="Q11" s="925"/>
      <c r="R11" s="925"/>
    </row>
    <row r="12" spans="1:18">
      <c r="A12" s="93" t="s">
        <v>176</v>
      </c>
      <c r="B12" s="95" t="s">
        <v>163</v>
      </c>
      <c r="C12" s="105"/>
      <c r="D12" s="576"/>
      <c r="E12" s="576"/>
      <c r="F12" s="576"/>
      <c r="G12" s="576"/>
      <c r="H12" s="576"/>
      <c r="I12" s="577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11">
        <v>2462067</v>
      </c>
      <c r="E25" s="611">
        <v>364551.99999999994</v>
      </c>
      <c r="F25" s="611">
        <v>24110</v>
      </c>
      <c r="G25" s="611">
        <v>252</v>
      </c>
      <c r="H25" s="611">
        <v>29215.99999999996</v>
      </c>
      <c r="I25" s="611"/>
    </row>
    <row r="26" spans="1:9">
      <c r="B26" s="95" t="s">
        <v>171</v>
      </c>
      <c r="C26" s="103"/>
      <c r="D26" s="611"/>
      <c r="E26" s="611"/>
      <c r="F26" s="611"/>
      <c r="G26" s="611"/>
      <c r="H26" s="611"/>
      <c r="I26" s="611"/>
    </row>
    <row r="27" spans="1:9">
      <c r="A27" s="93" t="s">
        <v>155</v>
      </c>
      <c r="B27" s="95" t="s">
        <v>172</v>
      </c>
      <c r="C27" s="103"/>
      <c r="D27" s="611"/>
      <c r="E27" s="611">
        <v>402284</v>
      </c>
      <c r="F27" s="611">
        <v>2748136</v>
      </c>
      <c r="G27" s="611">
        <v>1276783</v>
      </c>
      <c r="H27" s="611"/>
      <c r="I27" s="611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15">
        <v>8.5</v>
      </c>
      <c r="E59" s="615">
        <v>18</v>
      </c>
      <c r="F59" s="615">
        <v>0</v>
      </c>
      <c r="G59" s="615">
        <v>0</v>
      </c>
      <c r="H59" s="615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13"/>
      <c r="E60" s="612"/>
      <c r="F60" s="612"/>
      <c r="G60" s="612"/>
      <c r="H60" s="612"/>
    </row>
    <row r="62" spans="1:14">
      <c r="A62" s="93" t="s">
        <v>378</v>
      </c>
      <c r="B62" s="95" t="s">
        <v>180</v>
      </c>
      <c r="D62" s="616">
        <v>7.5250000000000004</v>
      </c>
      <c r="E62" s="616">
        <v>11.507</v>
      </c>
      <c r="F62" s="616">
        <v>7.24</v>
      </c>
      <c r="G62" s="616">
        <v>5.6159999999999997</v>
      </c>
      <c r="H62" s="616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16">
        <v>8.7550000000000008</v>
      </c>
      <c r="E63" s="616">
        <v>8.4550000000000001</v>
      </c>
      <c r="F63" s="616">
        <v>6.4749999999999996</v>
      </c>
      <c r="G63" s="616">
        <v>5.0529999999999999</v>
      </c>
      <c r="H63" s="616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16">
        <v>10.263999999999999</v>
      </c>
      <c r="E64" s="616">
        <v>0</v>
      </c>
      <c r="F64" s="616">
        <v>0</v>
      </c>
      <c r="G64" s="616">
        <v>4.32</v>
      </c>
      <c r="H64" s="616">
        <v>0</v>
      </c>
      <c r="I64" s="123">
        <v>0</v>
      </c>
      <c r="K64" s="121">
        <v>4</v>
      </c>
    </row>
    <row r="65" spans="1:12">
      <c r="B65" s="95" t="s">
        <v>183</v>
      </c>
      <c r="D65" s="614"/>
      <c r="E65" s="614"/>
      <c r="F65" s="614"/>
      <c r="G65" s="614"/>
      <c r="H65" s="614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22">
        <v>8.1846000002466752</v>
      </c>
      <c r="E67" s="622">
        <v>10.561245460615403</v>
      </c>
      <c r="F67" s="622">
        <v>7.1507754755818773</v>
      </c>
      <c r="G67" s="622"/>
      <c r="H67" s="622">
        <v>7.9720166453257555</v>
      </c>
      <c r="I67" s="123"/>
    </row>
    <row r="68" spans="1:12">
      <c r="D68" s="620"/>
      <c r="E68" s="620"/>
      <c r="F68" s="620"/>
      <c r="G68" s="620"/>
      <c r="H68" s="620"/>
      <c r="I68" s="124"/>
    </row>
    <row r="69" spans="1:12" s="122" customFormat="1">
      <c r="A69" s="93" t="s">
        <v>378</v>
      </c>
      <c r="B69" s="122" t="s">
        <v>185</v>
      </c>
      <c r="D69" s="621">
        <v>0</v>
      </c>
      <c r="E69" s="621">
        <v>0</v>
      </c>
      <c r="F69" s="621">
        <v>500</v>
      </c>
      <c r="G69" s="621">
        <v>21000</v>
      </c>
      <c r="H69" s="621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21">
        <v>0</v>
      </c>
      <c r="E70" s="621">
        <v>6</v>
      </c>
      <c r="F70" s="621">
        <v>6</v>
      </c>
      <c r="G70" s="621">
        <v>6</v>
      </c>
      <c r="H70" s="621">
        <v>0</v>
      </c>
      <c r="I70" s="120">
        <v>0</v>
      </c>
      <c r="K70" s="121">
        <v>7</v>
      </c>
    </row>
    <row r="71" spans="1:12">
      <c r="D71" s="620"/>
      <c r="E71" s="620"/>
      <c r="F71" s="620"/>
      <c r="G71" s="620"/>
      <c r="H71" s="620"/>
      <c r="I71" s="124"/>
    </row>
    <row r="72" spans="1:12">
      <c r="D72" s="620"/>
      <c r="E72" s="620"/>
      <c r="F72" s="620"/>
      <c r="G72" s="620"/>
      <c r="H72" s="620"/>
      <c r="I72" s="124"/>
    </row>
    <row r="73" spans="1:12">
      <c r="D73" s="620"/>
      <c r="E73" s="620"/>
      <c r="F73" s="620"/>
      <c r="G73" s="620"/>
      <c r="H73" s="620"/>
      <c r="I73" s="124"/>
    </row>
    <row r="74" spans="1:12">
      <c r="D74" s="620"/>
      <c r="E74" s="620"/>
      <c r="F74" s="620"/>
      <c r="G74" s="620"/>
      <c r="H74" s="620"/>
      <c r="I74" s="124"/>
    </row>
    <row r="75" spans="1:12" ht="13.2">
      <c r="B75" s="99" t="s">
        <v>187</v>
      </c>
      <c r="D75" s="617"/>
      <c r="E75" s="617"/>
      <c r="F75" s="617"/>
      <c r="G75" s="617"/>
      <c r="H75" s="617"/>
    </row>
    <row r="76" spans="1:12">
      <c r="B76" s="95" t="s">
        <v>177</v>
      </c>
      <c r="D76" s="621">
        <v>8.5</v>
      </c>
      <c r="E76" s="621">
        <v>18</v>
      </c>
      <c r="F76" s="621"/>
      <c r="G76" s="621"/>
      <c r="H76" s="621">
        <v>18</v>
      </c>
      <c r="I76" s="120"/>
      <c r="K76" s="121">
        <v>1</v>
      </c>
      <c r="L76" s="125"/>
    </row>
    <row r="77" spans="1:12" ht="13.2">
      <c r="B77" s="95" t="s">
        <v>179</v>
      </c>
      <c r="D77" s="619"/>
      <c r="E77" s="617"/>
      <c r="F77" s="617"/>
      <c r="G77" s="617"/>
      <c r="H77" s="617"/>
    </row>
    <row r="79" spans="1:12">
      <c r="B79" s="95" t="s">
        <v>180</v>
      </c>
      <c r="C79" s="126"/>
      <c r="D79" s="622">
        <v>7.5250000000000004</v>
      </c>
      <c r="E79" s="622">
        <v>11.507</v>
      </c>
      <c r="F79" s="622">
        <v>7.24</v>
      </c>
      <c r="G79" s="622">
        <v>5.6159999999999997</v>
      </c>
      <c r="H79" s="622">
        <v>9.7119999999999997</v>
      </c>
      <c r="I79" s="123"/>
      <c r="K79" s="121">
        <v>2</v>
      </c>
    </row>
    <row r="80" spans="1:12">
      <c r="B80" s="95" t="s">
        <v>181</v>
      </c>
      <c r="C80" s="126"/>
      <c r="D80" s="622">
        <v>8.7550000000000008</v>
      </c>
      <c r="E80" s="622">
        <v>8.4550000000000001</v>
      </c>
      <c r="F80" s="622">
        <v>6.4749999999999996</v>
      </c>
      <c r="G80" s="622">
        <v>5.0529999999999999</v>
      </c>
      <c r="H80" s="622">
        <v>6.9359999999999999</v>
      </c>
      <c r="I80" s="123"/>
      <c r="K80" s="121">
        <v>3</v>
      </c>
    </row>
    <row r="81" spans="1:11">
      <c r="B81" s="95" t="s">
        <v>182</v>
      </c>
      <c r="C81" s="126"/>
      <c r="D81" s="622">
        <v>10.263999999999999</v>
      </c>
      <c r="E81" s="622"/>
      <c r="F81" s="622"/>
      <c r="G81" s="622">
        <v>4.32</v>
      </c>
      <c r="H81" s="622"/>
      <c r="I81" s="123"/>
      <c r="K81" s="121">
        <v>4</v>
      </c>
    </row>
    <row r="82" spans="1:11">
      <c r="B82" s="95" t="s">
        <v>183</v>
      </c>
      <c r="D82" s="620"/>
      <c r="E82" s="620"/>
      <c r="F82" s="620"/>
      <c r="G82" s="620"/>
      <c r="H82" s="620"/>
      <c r="I82" s="124"/>
      <c r="K82" s="121">
        <v>5</v>
      </c>
    </row>
    <row r="83" spans="1:11">
      <c r="D83" s="620"/>
      <c r="E83" s="620"/>
      <c r="F83" s="620"/>
      <c r="G83" s="620"/>
      <c r="H83" s="620"/>
      <c r="I83" s="124"/>
    </row>
    <row r="84" spans="1:11">
      <c r="B84" s="95" t="s">
        <v>184</v>
      </c>
      <c r="D84" s="622">
        <v>8.1846000002466752</v>
      </c>
      <c r="E84" s="622">
        <v>10.561245460615403</v>
      </c>
      <c r="F84" s="622">
        <v>7.1507754755818773</v>
      </c>
      <c r="G84" s="622"/>
      <c r="H84" s="622">
        <v>7.9720166453257555</v>
      </c>
      <c r="I84" s="123"/>
    </row>
    <row r="85" spans="1:11">
      <c r="D85" s="620"/>
      <c r="E85" s="620"/>
      <c r="F85" s="620"/>
      <c r="G85" s="620"/>
      <c r="H85" s="620"/>
      <c r="I85" s="124"/>
    </row>
    <row r="86" spans="1:11" s="122" customFormat="1">
      <c r="A86" s="93"/>
      <c r="B86" s="122" t="s">
        <v>185</v>
      </c>
      <c r="D86" s="621"/>
      <c r="E86" s="621"/>
      <c r="F86" s="621">
        <v>500</v>
      </c>
      <c r="G86" s="621">
        <v>21000</v>
      </c>
      <c r="H86" s="621"/>
      <c r="I86" s="120"/>
      <c r="K86" s="121">
        <v>6</v>
      </c>
    </row>
    <row r="87" spans="1:11" s="122" customFormat="1">
      <c r="A87" s="93"/>
      <c r="B87" s="122" t="s">
        <v>186</v>
      </c>
      <c r="D87" s="621"/>
      <c r="E87" s="621">
        <v>6</v>
      </c>
      <c r="F87" s="621">
        <v>6</v>
      </c>
      <c r="G87" s="621">
        <v>6</v>
      </c>
      <c r="H87" s="621"/>
      <c r="I87" s="120"/>
      <c r="K87" s="121">
        <v>7</v>
      </c>
    </row>
    <row r="88" spans="1:11" s="122" customFormat="1">
      <c r="A88" s="93"/>
      <c r="D88" s="618"/>
      <c r="E88" s="619"/>
      <c r="F88" s="619"/>
      <c r="G88" s="619"/>
      <c r="H88" s="619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26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27"/>
      <c r="D95" s="927"/>
      <c r="E95" s="927"/>
      <c r="F95" s="927"/>
      <c r="G95" s="927"/>
      <c r="H95" s="927"/>
    </row>
    <row r="96" spans="1:11" s="122" customFormat="1">
      <c r="A96" s="93"/>
      <c r="B96" s="927"/>
      <c r="C96" s="927"/>
      <c r="D96" s="927"/>
      <c r="E96" s="927"/>
      <c r="F96" s="927"/>
      <c r="G96" s="927"/>
      <c r="H96" s="927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28">
        <v>7411.5</v>
      </c>
      <c r="F119" s="628">
        <v>127296.5</v>
      </c>
      <c r="G119" s="628"/>
      <c r="H119" s="628">
        <v>4820</v>
      </c>
      <c r="I119" s="625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25"/>
      <c r="F120" s="629">
        <v>-70490</v>
      </c>
      <c r="G120" s="625">
        <v>-1240040.5</v>
      </c>
      <c r="H120" s="625"/>
      <c r="I120" s="625"/>
    </row>
    <row r="121" spans="1:9" ht="13.2">
      <c r="A121" s="381"/>
      <c r="B121" s="127" t="s">
        <v>191</v>
      </c>
      <c r="C121" s="103">
        <f t="shared" si="15"/>
        <v>0</v>
      </c>
      <c r="D121" s="103"/>
      <c r="E121" s="625"/>
      <c r="F121" s="625"/>
      <c r="G121" s="625"/>
      <c r="H121" s="625"/>
      <c r="I121" s="625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26"/>
      <c r="F122" s="626"/>
      <c r="G122" s="626"/>
      <c r="H122" s="626"/>
      <c r="I122" s="627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30">
        <v>-3326043</v>
      </c>
      <c r="E134" s="630">
        <v>230343</v>
      </c>
      <c r="F134" s="630">
        <v>208054</v>
      </c>
      <c r="G134" s="630"/>
      <c r="H134" s="630">
        <v>100740</v>
      </c>
      <c r="I134" s="398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399">
        <v>0</v>
      </c>
      <c r="E138" s="399">
        <v>0</v>
      </c>
      <c r="F138" s="399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81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32">
        <v>-61889108</v>
      </c>
      <c r="E145" s="632">
        <v>-8479367</v>
      </c>
      <c r="F145" s="633">
        <v>-9674736</v>
      </c>
      <c r="G145" s="632"/>
      <c r="H145" s="631"/>
      <c r="I145" s="631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582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578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580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582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35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34">
        <v>7019745.6005999986</v>
      </c>
    </row>
    <row r="176" spans="1:9">
      <c r="B176" s="95" t="s">
        <v>579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578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581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580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670" t="s">
        <v>582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579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81" t="str">
        <f>C4</f>
        <v xml:space="preserve"> </v>
      </c>
      <c r="D210" s="381"/>
      <c r="E210" s="143"/>
      <c r="F210" s="149"/>
      <c r="G210" s="149"/>
      <c r="H210" s="149"/>
      <c r="I210" s="149"/>
    </row>
    <row r="211" spans="1:9" s="96" customFormat="1" ht="13.2">
      <c r="A211" s="93"/>
      <c r="C211" s="381"/>
      <c r="D211" s="381"/>
      <c r="E211" s="143"/>
      <c r="F211" s="149"/>
      <c r="G211" s="149"/>
      <c r="H211" s="149"/>
      <c r="I211" s="149"/>
    </row>
    <row r="212" spans="1:9" s="96" customFormat="1" ht="13.2">
      <c r="A212" s="93"/>
      <c r="C212" s="381"/>
      <c r="D212" s="381"/>
      <c r="E212" s="143"/>
      <c r="F212" s="149"/>
      <c r="G212" s="149"/>
      <c r="H212" s="149"/>
      <c r="I212" s="149"/>
    </row>
    <row r="213" spans="1:9" s="96" customFormat="1" ht="13.2">
      <c r="A213" s="93"/>
      <c r="C213" s="381"/>
      <c r="D213" s="381"/>
      <c r="E213" s="143"/>
      <c r="F213" s="149"/>
      <c r="G213" s="149"/>
      <c r="H213" s="149"/>
      <c r="I213" s="149"/>
    </row>
    <row r="214" spans="1:9" s="96" customFormat="1" ht="13.2">
      <c r="A214" s="93"/>
      <c r="C214" s="381"/>
      <c r="D214" s="381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67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81"/>
      <c r="E264" s="381"/>
      <c r="F264" s="381"/>
      <c r="G264" s="381"/>
      <c r="H264" s="381"/>
      <c r="I264" s="381"/>
    </row>
    <row r="265" spans="1:9" s="96" customFormat="1" ht="13.2">
      <c r="A265" s="93"/>
      <c r="C265" s="381"/>
      <c r="D265" s="381"/>
      <c r="E265" s="143"/>
      <c r="F265" s="149"/>
      <c r="G265" s="149"/>
      <c r="H265" s="149"/>
      <c r="I265" s="149"/>
    </row>
    <row r="266" spans="1:9" s="96" customFormat="1" ht="13.2">
      <c r="A266" s="93"/>
      <c r="C266" s="381"/>
      <c r="D266" s="381"/>
      <c r="E266" s="143"/>
      <c r="F266" s="149"/>
      <c r="G266" s="149"/>
      <c r="H266" s="149"/>
      <c r="I266" s="149"/>
    </row>
    <row r="267" spans="1:9" s="96" customFormat="1" ht="13.2">
      <c r="A267" s="93"/>
      <c r="C267" s="381"/>
      <c r="D267" s="381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21" customWidth="1"/>
    <col min="8" max="8" width="16.109375" style="321" customWidth="1"/>
    <col min="9" max="9" width="19.109375" style="4" bestFit="1" customWidth="1"/>
    <col min="10" max="16384" width="9.109375" style="4"/>
  </cols>
  <sheetData>
    <row r="1" spans="1:10">
      <c r="A1" s="623" t="s">
        <v>511</v>
      </c>
      <c r="J1" s="4" t="s">
        <v>518</v>
      </c>
    </row>
    <row r="2" spans="1:10" ht="13.8">
      <c r="A2" s="3" t="s">
        <v>2</v>
      </c>
    </row>
    <row r="3" spans="1:10">
      <c r="G3" s="377" t="s">
        <v>31</v>
      </c>
      <c r="H3" s="377" t="s">
        <v>359</v>
      </c>
    </row>
    <row r="4" spans="1:10">
      <c r="G4" s="322">
        <v>2016</v>
      </c>
      <c r="H4" s="322">
        <v>2016</v>
      </c>
    </row>
    <row r="5" spans="1:10">
      <c r="A5" s="579" t="s">
        <v>43</v>
      </c>
      <c r="G5" s="322"/>
      <c r="H5" s="322"/>
    </row>
    <row r="6" spans="1:10">
      <c r="A6" s="595" t="s">
        <v>33</v>
      </c>
      <c r="B6" s="7"/>
      <c r="C6" s="7"/>
      <c r="D6" s="7"/>
      <c r="E6" s="7"/>
      <c r="F6" s="7"/>
      <c r="G6" s="589">
        <v>209394.33333333334</v>
      </c>
      <c r="H6" s="323">
        <f>G6*12</f>
        <v>2512732</v>
      </c>
      <c r="J6" s="4" t="s">
        <v>519</v>
      </c>
    </row>
    <row r="7" spans="1:10">
      <c r="A7" s="595" t="s">
        <v>37</v>
      </c>
      <c r="B7" s="7"/>
      <c r="C7" s="7"/>
      <c r="D7" s="7"/>
      <c r="E7" s="7"/>
      <c r="F7" s="7"/>
      <c r="G7" s="589">
        <v>22339.232387966422</v>
      </c>
      <c r="H7" s="323">
        <f t="shared" ref="H7:H25" si="0">G7*12</f>
        <v>268070.78865559708</v>
      </c>
      <c r="J7" s="4" t="s">
        <v>520</v>
      </c>
    </row>
    <row r="8" spans="1:10">
      <c r="A8" s="595" t="s">
        <v>34</v>
      </c>
      <c r="B8" s="7"/>
      <c r="C8" s="7"/>
      <c r="D8" s="7"/>
      <c r="E8" s="7"/>
      <c r="F8" s="7"/>
      <c r="G8" s="589">
        <v>9270.25</v>
      </c>
      <c r="H8" s="323">
        <f t="shared" si="0"/>
        <v>111243</v>
      </c>
      <c r="J8" s="4" t="s">
        <v>521</v>
      </c>
    </row>
    <row r="9" spans="1:10">
      <c r="A9" s="595" t="s">
        <v>38</v>
      </c>
      <c r="B9" s="7"/>
      <c r="C9" s="7"/>
      <c r="D9" s="7"/>
      <c r="E9" s="7"/>
      <c r="F9" s="7"/>
      <c r="G9" s="589">
        <v>1964.1555167003778</v>
      </c>
      <c r="H9" s="323">
        <f t="shared" si="0"/>
        <v>23569.866200404533</v>
      </c>
      <c r="J9" s="4" t="s">
        <v>522</v>
      </c>
    </row>
    <row r="10" spans="1:10">
      <c r="A10" s="595" t="s">
        <v>35</v>
      </c>
      <c r="B10" s="7"/>
      <c r="C10" s="7"/>
      <c r="D10" s="7"/>
      <c r="E10" s="7"/>
      <c r="F10" s="7"/>
      <c r="G10" s="589">
        <v>54.618041666666663</v>
      </c>
      <c r="H10" s="323">
        <f t="shared" si="0"/>
        <v>655.41649999999993</v>
      </c>
      <c r="J10" s="4" t="s">
        <v>523</v>
      </c>
    </row>
    <row r="11" spans="1:10">
      <c r="A11" s="595" t="s">
        <v>39</v>
      </c>
      <c r="B11" s="7"/>
      <c r="C11" s="7"/>
      <c r="D11" s="7"/>
      <c r="E11" s="7"/>
      <c r="F11" s="7"/>
      <c r="G11" s="589">
        <v>20.974075673563011</v>
      </c>
      <c r="H11" s="323">
        <f t="shared" si="0"/>
        <v>251.68890808275614</v>
      </c>
      <c r="J11" s="4" t="s">
        <v>524</v>
      </c>
    </row>
    <row r="12" spans="1:10">
      <c r="A12" s="595" t="s">
        <v>41</v>
      </c>
      <c r="B12" s="7"/>
      <c r="C12" s="7"/>
      <c r="D12" s="7"/>
      <c r="E12" s="7"/>
      <c r="F12" s="7"/>
      <c r="G12" s="589">
        <v>0</v>
      </c>
      <c r="H12" s="323">
        <f t="shared" si="0"/>
        <v>0</v>
      </c>
      <c r="J12" s="4" t="s">
        <v>525</v>
      </c>
    </row>
    <row r="13" spans="1:10">
      <c r="A13" s="595" t="s">
        <v>40</v>
      </c>
      <c r="B13" s="7"/>
      <c r="C13" s="7"/>
      <c r="D13" s="7"/>
      <c r="E13" s="7"/>
      <c r="F13" s="7"/>
      <c r="G13" s="589">
        <v>1256.8935910567657</v>
      </c>
      <c r="H13" s="323">
        <f t="shared" si="0"/>
        <v>15082.723092681188</v>
      </c>
      <c r="J13" s="4" t="s">
        <v>526</v>
      </c>
    </row>
    <row r="14" spans="1:10">
      <c r="A14" s="595" t="s">
        <v>36</v>
      </c>
      <c r="B14" s="7"/>
      <c r="C14" s="7"/>
      <c r="D14" s="7"/>
      <c r="E14" s="7"/>
      <c r="F14" s="7"/>
      <c r="G14" s="589">
        <v>1218.806325</v>
      </c>
      <c r="H14" s="323">
        <f t="shared" si="0"/>
        <v>14625.6759</v>
      </c>
      <c r="J14" s="4" t="s">
        <v>527</v>
      </c>
    </row>
    <row r="15" spans="1:10">
      <c r="A15" s="595" t="s">
        <v>42</v>
      </c>
      <c r="B15" s="7"/>
      <c r="C15" s="7"/>
      <c r="D15" s="7"/>
      <c r="E15" s="7"/>
      <c r="F15" s="7"/>
      <c r="G15" s="589">
        <v>397.44294999999994</v>
      </c>
      <c r="H15" s="323">
        <f t="shared" si="0"/>
        <v>4769.3153999999995</v>
      </c>
      <c r="J15" s="4" t="s">
        <v>528</v>
      </c>
    </row>
    <row r="16" spans="1:10">
      <c r="A16" s="595" t="s">
        <v>260</v>
      </c>
      <c r="B16" s="7"/>
      <c r="C16" s="7"/>
      <c r="D16" s="7"/>
      <c r="E16" s="7"/>
      <c r="F16" s="7"/>
      <c r="G16" s="589">
        <v>105892.70273403819</v>
      </c>
      <c r="H16" s="323">
        <f t="shared" si="0"/>
        <v>1270712.4328084583</v>
      </c>
      <c r="J16" s="4" t="s">
        <v>529</v>
      </c>
    </row>
    <row r="17" spans="1:10">
      <c r="A17" s="595" t="s">
        <v>265</v>
      </c>
      <c r="B17" s="7"/>
      <c r="C17" s="7"/>
      <c r="D17" s="7"/>
      <c r="E17" s="7"/>
      <c r="F17" s="7"/>
      <c r="G17" s="589">
        <v>16007.131658333334</v>
      </c>
      <c r="H17" s="323">
        <f t="shared" si="0"/>
        <v>192085.57990000001</v>
      </c>
      <c r="J17" s="4" t="s">
        <v>530</v>
      </c>
    </row>
    <row r="18" spans="1:10">
      <c r="A18" s="595" t="s">
        <v>261</v>
      </c>
      <c r="B18" s="7"/>
      <c r="C18" s="7"/>
      <c r="D18" s="7"/>
      <c r="E18" s="7"/>
      <c r="F18" s="7"/>
      <c r="G18" s="589">
        <v>5277.75</v>
      </c>
      <c r="H18" s="323">
        <f t="shared" si="0"/>
        <v>63333</v>
      </c>
      <c r="J18" s="4" t="s">
        <v>531</v>
      </c>
    </row>
    <row r="19" spans="1:10">
      <c r="A19" s="595" t="s">
        <v>266</v>
      </c>
      <c r="B19" s="7"/>
      <c r="C19" s="8"/>
      <c r="D19" s="7"/>
      <c r="E19" s="7"/>
      <c r="F19" s="7"/>
      <c r="G19" s="589">
        <v>1133.5452936413924</v>
      </c>
      <c r="H19" s="323">
        <f t="shared" si="0"/>
        <v>13602.54352369671</v>
      </c>
      <c r="J19" s="4" t="s">
        <v>532</v>
      </c>
    </row>
    <row r="20" spans="1:10">
      <c r="A20" s="595" t="s">
        <v>262</v>
      </c>
      <c r="B20" s="7"/>
      <c r="C20" s="7"/>
      <c r="D20" s="7"/>
      <c r="E20" s="7"/>
      <c r="F20" s="7"/>
      <c r="G20" s="589">
        <v>21.445034499375708</v>
      </c>
      <c r="H20" s="323">
        <f t="shared" si="0"/>
        <v>257.3404139925085</v>
      </c>
      <c r="J20" s="4" t="s">
        <v>533</v>
      </c>
    </row>
    <row r="21" spans="1:10">
      <c r="A21" s="595" t="s">
        <v>267</v>
      </c>
      <c r="B21" s="7"/>
      <c r="C21" s="7"/>
      <c r="D21" s="7"/>
      <c r="E21" s="7"/>
      <c r="F21" s="7"/>
      <c r="G21" s="589">
        <v>9</v>
      </c>
      <c r="H21" s="323">
        <f t="shared" si="0"/>
        <v>108</v>
      </c>
      <c r="J21" s="4" t="s">
        <v>534</v>
      </c>
    </row>
    <row r="22" spans="1:10">
      <c r="A22" s="595" t="s">
        <v>269</v>
      </c>
      <c r="B22" s="7"/>
      <c r="C22" s="7"/>
      <c r="D22" s="7"/>
      <c r="E22" s="7"/>
      <c r="F22" s="7"/>
      <c r="G22" s="589">
        <v>1</v>
      </c>
      <c r="H22" s="323">
        <f t="shared" si="0"/>
        <v>12</v>
      </c>
      <c r="J22" s="4" t="s">
        <v>535</v>
      </c>
    </row>
    <row r="23" spans="1:10">
      <c r="A23" s="595" t="s">
        <v>268</v>
      </c>
      <c r="G23" s="589">
        <v>729.54100833333325</v>
      </c>
      <c r="H23" s="323">
        <f t="shared" si="0"/>
        <v>8754.4920999999995</v>
      </c>
      <c r="J23" s="4" t="s">
        <v>536</v>
      </c>
    </row>
    <row r="24" spans="1:10">
      <c r="A24" s="595" t="s">
        <v>263</v>
      </c>
      <c r="G24" s="589">
        <v>685.10282500000005</v>
      </c>
      <c r="H24" s="323">
        <f t="shared" si="0"/>
        <v>8221.2339000000011</v>
      </c>
      <c r="J24" s="4" t="s">
        <v>537</v>
      </c>
    </row>
    <row r="25" spans="1:10">
      <c r="A25" s="595" t="s">
        <v>264</v>
      </c>
      <c r="B25" s="7"/>
      <c r="C25" s="7"/>
      <c r="G25" s="589">
        <v>147</v>
      </c>
      <c r="H25" s="323">
        <f t="shared" si="0"/>
        <v>1764</v>
      </c>
      <c r="J25" s="4" t="s">
        <v>538</v>
      </c>
    </row>
    <row r="26" spans="1:10">
      <c r="A26" s="592"/>
      <c r="B26" s="7"/>
      <c r="C26" s="7"/>
      <c r="G26" s="323"/>
      <c r="H26" s="323"/>
    </row>
    <row r="27" spans="1:10">
      <c r="A27" s="579" t="s">
        <v>358</v>
      </c>
      <c r="B27" s="7"/>
      <c r="C27" s="7"/>
      <c r="G27" s="323"/>
      <c r="H27" s="323"/>
    </row>
    <row r="28" spans="1:10" s="9" customFormat="1">
      <c r="A28" s="604" t="s">
        <v>32</v>
      </c>
      <c r="B28" s="10"/>
      <c r="C28" s="10"/>
      <c r="G28" s="491">
        <f>SUM(G6:G15)</f>
        <v>245916.70622139712</v>
      </c>
      <c r="H28" s="324">
        <f>SUM(H6:H15)</f>
        <v>2951000.4746567663</v>
      </c>
      <c r="J28" s="4" t="s">
        <v>541</v>
      </c>
    </row>
    <row r="29" spans="1:10" s="9" customFormat="1">
      <c r="A29" s="585" t="s">
        <v>259</v>
      </c>
      <c r="B29" s="10"/>
      <c r="C29" s="10"/>
      <c r="G29" s="491">
        <f>SUM(G16:G25)</f>
        <v>129904.21855384563</v>
      </c>
      <c r="H29" s="324">
        <f>SUM(H16:H25)</f>
        <v>1558850.6226461476</v>
      </c>
      <c r="J29" s="4" t="s">
        <v>542</v>
      </c>
    </row>
    <row r="30" spans="1:10" s="9" customFormat="1">
      <c r="A30" s="597"/>
      <c r="B30" s="10"/>
      <c r="C30" s="10"/>
      <c r="G30" s="491"/>
      <c r="H30" s="324"/>
      <c r="J30" s="4"/>
    </row>
    <row r="31" spans="1:10">
      <c r="A31" s="607" t="s">
        <v>357</v>
      </c>
      <c r="B31" s="5"/>
      <c r="C31" s="7"/>
      <c r="G31" s="492">
        <f>SUM(G6:G25)</f>
        <v>375820.92477524281</v>
      </c>
      <c r="H31" s="32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78" t="s">
        <v>8</v>
      </c>
      <c r="H34"/>
    </row>
    <row r="35" spans="1:10">
      <c r="B35" s="10"/>
      <c r="C35" s="10"/>
      <c r="D35" s="11"/>
      <c r="E35" s="9"/>
      <c r="F35" s="9"/>
      <c r="G35" s="477">
        <v>2016</v>
      </c>
      <c r="H35" s="323"/>
    </row>
    <row r="36" spans="1:10" hidden="1">
      <c r="A36" s="6" t="s">
        <v>44</v>
      </c>
      <c r="G36" s="325"/>
      <c r="H36" s="323"/>
    </row>
    <row r="37" spans="1:10" hidden="1">
      <c r="B37" s="7" t="s">
        <v>32</v>
      </c>
      <c r="G37" s="325">
        <v>5752629623.1252184</v>
      </c>
      <c r="H37" s="323"/>
    </row>
    <row r="38" spans="1:10" hidden="1">
      <c r="G38" s="326"/>
      <c r="H38" s="323"/>
    </row>
    <row r="39" spans="1:10">
      <c r="H39" s="323"/>
    </row>
    <row r="40" spans="1:10" ht="13.8">
      <c r="A40" s="603" t="s">
        <v>45</v>
      </c>
      <c r="B40" s="599"/>
      <c r="C40"/>
      <c r="D40"/>
      <c r="E40"/>
      <c r="F40"/>
      <c r="G40" s="322"/>
      <c r="H40" s="323"/>
    </row>
    <row r="41" spans="1:10">
      <c r="A41" s="606" t="s">
        <v>46</v>
      </c>
      <c r="B41" s="599"/>
      <c r="C41"/>
      <c r="D41"/>
      <c r="E41"/>
      <c r="F41"/>
      <c r="G41" s="323"/>
      <c r="H41" s="323"/>
    </row>
    <row r="42" spans="1:10">
      <c r="A42" s="588" t="s">
        <v>37</v>
      </c>
      <c r="B42" s="596" t="s">
        <v>360</v>
      </c>
      <c r="C42"/>
      <c r="D42"/>
      <c r="E42"/>
      <c r="F42"/>
      <c r="G42" s="610">
        <v>356508.5</v>
      </c>
      <c r="H42" s="323"/>
      <c r="J42" s="4" t="s">
        <v>545</v>
      </c>
    </row>
    <row r="43" spans="1:10">
      <c r="A43" s="588" t="s">
        <v>34</v>
      </c>
      <c r="B43" s="596" t="s">
        <v>360</v>
      </c>
      <c r="C43"/>
      <c r="D43"/>
      <c r="E43"/>
      <c r="F43"/>
      <c r="G43" s="610">
        <v>8132.5</v>
      </c>
      <c r="H43" s="323"/>
      <c r="J43" s="4" t="s">
        <v>546</v>
      </c>
    </row>
    <row r="44" spans="1:10">
      <c r="A44" s="588" t="s">
        <v>38</v>
      </c>
      <c r="B44" s="596" t="s">
        <v>361</v>
      </c>
      <c r="C44"/>
      <c r="D44"/>
      <c r="E44"/>
      <c r="F44"/>
      <c r="G44" s="610">
        <v>2643570.541666667</v>
      </c>
      <c r="H44" s="323"/>
      <c r="J44" s="4" t="s">
        <v>547</v>
      </c>
    </row>
    <row r="45" spans="1:10">
      <c r="A45" s="588" t="s">
        <v>35</v>
      </c>
      <c r="B45" s="596" t="s">
        <v>361</v>
      </c>
      <c r="C45"/>
      <c r="D45"/>
      <c r="E45"/>
      <c r="F45"/>
      <c r="G45" s="610">
        <v>53982.5</v>
      </c>
      <c r="H45" s="323"/>
      <c r="J45" s="4" t="s">
        <v>548</v>
      </c>
    </row>
    <row r="46" spans="1:10">
      <c r="A46" s="588" t="s">
        <v>39</v>
      </c>
      <c r="B46" s="596" t="s">
        <v>362</v>
      </c>
      <c r="C46"/>
      <c r="D46"/>
      <c r="E46"/>
      <c r="F46"/>
      <c r="G46" s="610">
        <v>1168073</v>
      </c>
      <c r="H46" s="323"/>
      <c r="J46" s="4" t="s">
        <v>549</v>
      </c>
    </row>
    <row r="47" spans="1:10">
      <c r="A47" s="588" t="s">
        <v>265</v>
      </c>
      <c r="B47" s="596" t="s">
        <v>360</v>
      </c>
      <c r="C47"/>
      <c r="D47"/>
      <c r="E47"/>
      <c r="F47"/>
      <c r="G47" s="610">
        <v>227091.75</v>
      </c>
      <c r="H47" s="323"/>
      <c r="J47" s="4" t="s">
        <v>550</v>
      </c>
    </row>
    <row r="48" spans="1:10">
      <c r="A48" s="588" t="s">
        <v>261</v>
      </c>
      <c r="B48" s="596" t="s">
        <v>360</v>
      </c>
      <c r="C48"/>
      <c r="D48"/>
      <c r="E48"/>
      <c r="F48"/>
      <c r="G48" s="610">
        <v>8132.5</v>
      </c>
      <c r="H48" s="323"/>
      <c r="J48" s="4" t="s">
        <v>551</v>
      </c>
    </row>
    <row r="49" spans="1:10">
      <c r="A49" s="588" t="s">
        <v>266</v>
      </c>
      <c r="B49" s="596" t="s">
        <v>361</v>
      </c>
      <c r="C49"/>
      <c r="D49"/>
      <c r="E49"/>
      <c r="F49"/>
      <c r="G49" s="610">
        <v>1286037.25</v>
      </c>
      <c r="H49" s="323"/>
      <c r="J49" s="4" t="s">
        <v>552</v>
      </c>
    </row>
    <row r="50" spans="1:10">
      <c r="A50" s="588" t="s">
        <v>262</v>
      </c>
      <c r="B50" s="596" t="s">
        <v>361</v>
      </c>
      <c r="C50"/>
      <c r="D50"/>
      <c r="E50"/>
      <c r="F50"/>
      <c r="G50" s="610">
        <v>15704.958333333334</v>
      </c>
      <c r="H50" s="323"/>
      <c r="J50" s="4" t="s">
        <v>553</v>
      </c>
    </row>
    <row r="51" spans="1:10">
      <c r="A51" s="588" t="s">
        <v>267</v>
      </c>
      <c r="B51" s="596" t="s">
        <v>362</v>
      </c>
      <c r="C51"/>
      <c r="D51"/>
      <c r="E51"/>
      <c r="F51"/>
      <c r="G51" s="610">
        <v>270260.5</v>
      </c>
      <c r="H51" s="323"/>
      <c r="J51" s="4" t="s">
        <v>554</v>
      </c>
    </row>
    <row r="52" spans="1:10">
      <c r="A52" s="588" t="s">
        <v>269</v>
      </c>
      <c r="B52" s="596" t="s">
        <v>362</v>
      </c>
      <c r="C52"/>
      <c r="D52"/>
      <c r="E52"/>
      <c r="F52"/>
      <c r="G52" s="610">
        <v>649540</v>
      </c>
      <c r="H52" s="323"/>
      <c r="J52" s="4" t="s">
        <v>555</v>
      </c>
    </row>
    <row r="53" spans="1:10">
      <c r="A53" s="321"/>
      <c r="B53" s="379"/>
      <c r="C53" s="236"/>
      <c r="D53" s="236"/>
      <c r="E53" s="236"/>
      <c r="F53" s="236"/>
      <c r="G53" s="323"/>
      <c r="H53" s="323"/>
    </row>
    <row r="54" spans="1:10">
      <c r="A54"/>
      <c r="B54"/>
      <c r="C54"/>
      <c r="D54"/>
      <c r="E54"/>
      <c r="F54"/>
      <c r="G54"/>
      <c r="H54" s="323"/>
    </row>
    <row r="55" spans="1:10">
      <c r="A55" s="372" t="s">
        <v>47</v>
      </c>
      <c r="B55"/>
      <c r="C55"/>
      <c r="D55"/>
      <c r="E55"/>
      <c r="F55"/>
      <c r="G55"/>
      <c r="H55" s="323"/>
    </row>
    <row r="56" spans="1:10" s="9" customFormat="1">
      <c r="A56" s="373" t="s">
        <v>32</v>
      </c>
      <c r="B56"/>
      <c r="C56"/>
      <c r="D56"/>
      <c r="E56"/>
      <c r="F56"/>
      <c r="G56" s="2">
        <f>SUM(G42:G46)</f>
        <v>4230267.041666667</v>
      </c>
      <c r="H56" s="323"/>
      <c r="J56" s="4" t="s">
        <v>556</v>
      </c>
    </row>
    <row r="57" spans="1:10" s="9" customFormat="1">
      <c r="A57" s="374" t="s">
        <v>259</v>
      </c>
      <c r="B57"/>
      <c r="C57"/>
      <c r="D57"/>
      <c r="E57"/>
      <c r="F57"/>
      <c r="G57" s="2">
        <f>SUM(G47:G52)</f>
        <v>2456766.958333333</v>
      </c>
      <c r="H57" s="323"/>
      <c r="J57" s="4" t="s">
        <v>557</v>
      </c>
    </row>
    <row r="58" spans="1:10">
      <c r="A58" s="375"/>
      <c r="B58"/>
      <c r="C58"/>
      <c r="D58"/>
      <c r="E58"/>
      <c r="F58"/>
      <c r="G58"/>
      <c r="H58" s="323"/>
    </row>
    <row r="59" spans="1:10">
      <c r="A59" s="376" t="s">
        <v>357</v>
      </c>
      <c r="B59"/>
      <c r="C59"/>
      <c r="D59"/>
      <c r="E59"/>
      <c r="F59"/>
      <c r="G59" s="2">
        <f>SUM(G42:G52)</f>
        <v>6687034</v>
      </c>
      <c r="H59" s="323"/>
      <c r="J59" s="4" t="s">
        <v>558</v>
      </c>
    </row>
    <row r="192" spans="2:2" ht="14.4">
      <c r="B192" s="669"/>
    </row>
    <row r="242" spans="9:9">
      <c r="I242" s="666"/>
    </row>
    <row r="243" spans="9:9">
      <c r="I243" s="666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23" t="s">
        <v>511</v>
      </c>
      <c r="I1" s="617"/>
      <c r="J1" s="617"/>
      <c r="K1" s="617"/>
      <c r="L1" s="617"/>
      <c r="M1" s="617"/>
      <c r="N1" s="617"/>
    </row>
    <row r="2" spans="1:14">
      <c r="F2" s="623" t="s">
        <v>512</v>
      </c>
      <c r="I2" s="617"/>
      <c r="J2" s="617"/>
      <c r="K2" s="617"/>
      <c r="L2" s="617"/>
      <c r="M2" s="617"/>
      <c r="N2" s="617"/>
    </row>
    <row r="3" spans="1:14">
      <c r="I3" s="617"/>
      <c r="J3" s="617"/>
      <c r="K3" s="617"/>
      <c r="L3" s="617"/>
      <c r="M3" s="617"/>
      <c r="N3" s="617"/>
    </row>
    <row r="4" spans="1:14">
      <c r="A4" s="594" t="s">
        <v>270</v>
      </c>
      <c r="D4" s="624">
        <v>2016</v>
      </c>
      <c r="I4" s="617"/>
      <c r="J4" s="617"/>
      <c r="K4" s="617"/>
      <c r="L4" s="617"/>
      <c r="M4" s="617"/>
      <c r="N4" s="617"/>
    </row>
    <row r="5" spans="1:14">
      <c r="A5" s="587" t="s">
        <v>33</v>
      </c>
      <c r="D5" s="593">
        <v>2447894612.94909</v>
      </c>
      <c r="F5" s="623" t="s">
        <v>525</v>
      </c>
      <c r="G5" s="623"/>
      <c r="I5" s="617"/>
      <c r="J5" s="617"/>
      <c r="K5" s="617"/>
      <c r="L5" s="617"/>
      <c r="M5" s="617"/>
      <c r="N5" s="617"/>
    </row>
    <row r="6" spans="1:14">
      <c r="A6" s="587" t="s">
        <v>37</v>
      </c>
      <c r="D6" s="586">
        <v>533190763.92359316</v>
      </c>
      <c r="F6" s="623" t="s">
        <v>526</v>
      </c>
      <c r="G6" s="623"/>
      <c r="I6" s="617"/>
      <c r="J6" s="617"/>
      <c r="K6" s="617"/>
      <c r="L6" s="617"/>
      <c r="M6" s="617"/>
      <c r="N6" s="617"/>
    </row>
    <row r="7" spans="1:14">
      <c r="A7" s="587" t="s">
        <v>34</v>
      </c>
      <c r="D7" s="586">
        <v>58198159.318362407</v>
      </c>
      <c r="F7" s="623" t="s">
        <v>527</v>
      </c>
      <c r="G7" s="623"/>
      <c r="I7" s="617"/>
      <c r="J7" s="617"/>
      <c r="K7" s="617"/>
      <c r="L7" s="617"/>
      <c r="M7" s="617"/>
      <c r="N7" s="617"/>
    </row>
    <row r="8" spans="1:14">
      <c r="A8" s="587" t="s">
        <v>38</v>
      </c>
      <c r="D8" s="586">
        <v>1394199937.4331989</v>
      </c>
      <c r="F8" s="623" t="s">
        <v>528</v>
      </c>
      <c r="G8" s="623"/>
      <c r="I8" s="617"/>
      <c r="J8" s="617"/>
      <c r="K8" s="617"/>
      <c r="L8" s="617"/>
      <c r="M8" s="617"/>
      <c r="N8" s="617"/>
    </row>
    <row r="9" spans="1:14">
      <c r="A9" s="587" t="s">
        <v>35</v>
      </c>
      <c r="D9" s="586">
        <v>36949668.457222924</v>
      </c>
      <c r="F9" s="623" t="s">
        <v>529</v>
      </c>
      <c r="G9" s="623"/>
      <c r="I9" s="617"/>
      <c r="J9" s="617"/>
      <c r="K9" s="617"/>
      <c r="L9" s="617"/>
      <c r="M9" s="617"/>
      <c r="N9" s="617"/>
    </row>
    <row r="10" spans="1:14">
      <c r="A10" s="587" t="s">
        <v>39</v>
      </c>
      <c r="D10" s="586">
        <v>1114987712.0720894</v>
      </c>
      <c r="F10" s="623" t="s">
        <v>530</v>
      </c>
      <c r="G10" s="623"/>
      <c r="I10" s="617"/>
      <c r="J10" s="617"/>
      <c r="K10" s="617"/>
      <c r="L10" s="617"/>
      <c r="M10" s="617"/>
      <c r="N10" s="617"/>
    </row>
    <row r="11" spans="1:14">
      <c r="A11" s="587" t="s">
        <v>41</v>
      </c>
      <c r="D11" s="586">
        <v>0</v>
      </c>
      <c r="F11" s="623" t="s">
        <v>531</v>
      </c>
      <c r="G11" s="623"/>
      <c r="I11" s="617"/>
      <c r="J11" s="617"/>
      <c r="K11" s="617"/>
      <c r="L11" s="617"/>
      <c r="M11" s="617"/>
      <c r="N11" s="617"/>
    </row>
    <row r="12" spans="1:14">
      <c r="A12" s="587" t="s">
        <v>40</v>
      </c>
      <c r="D12" s="586">
        <v>123625944.32330225</v>
      </c>
      <c r="F12" s="623" t="s">
        <v>532</v>
      </c>
      <c r="G12" s="623"/>
      <c r="I12" s="617"/>
      <c r="J12" s="617"/>
      <c r="K12" s="617"/>
      <c r="L12" s="617"/>
      <c r="M12" s="617"/>
      <c r="N12" s="617"/>
    </row>
    <row r="13" spans="1:14">
      <c r="A13" s="587" t="s">
        <v>36</v>
      </c>
      <c r="D13" s="586">
        <v>8099403.0397304203</v>
      </c>
      <c r="F13" s="623" t="s">
        <v>533</v>
      </c>
      <c r="G13" s="623"/>
      <c r="I13" s="617"/>
      <c r="J13" s="617"/>
      <c r="K13" s="617"/>
      <c r="L13" s="617"/>
      <c r="M13" s="617"/>
      <c r="N13" s="617"/>
    </row>
    <row r="14" spans="1:14">
      <c r="A14" s="609" t="s">
        <v>42</v>
      </c>
      <c r="D14" s="586">
        <v>24890112.090452805</v>
      </c>
      <c r="F14" s="623" t="s">
        <v>534</v>
      </c>
      <c r="G14" s="623"/>
      <c r="I14" s="617"/>
      <c r="J14" s="617"/>
      <c r="K14" s="617"/>
      <c r="L14" s="617"/>
      <c r="M14" s="617"/>
      <c r="N14" s="617"/>
    </row>
    <row r="15" spans="1:14">
      <c r="A15" s="587" t="s">
        <v>260</v>
      </c>
      <c r="D15" s="586">
        <v>1202461977.0101345</v>
      </c>
      <c r="F15" s="623" t="s">
        <v>535</v>
      </c>
      <c r="G15" s="623"/>
      <c r="I15" s="617"/>
      <c r="J15" s="617"/>
      <c r="K15" s="617"/>
      <c r="L15" s="617"/>
      <c r="M15" s="617"/>
      <c r="N15" s="617"/>
    </row>
    <row r="16" spans="1:14">
      <c r="A16" s="587" t="s">
        <v>265</v>
      </c>
      <c r="D16" s="586">
        <v>338210070.58827966</v>
      </c>
      <c r="F16" s="623" t="s">
        <v>536</v>
      </c>
      <c r="G16" s="623"/>
      <c r="I16" s="617"/>
      <c r="J16" s="617"/>
      <c r="K16" s="617"/>
      <c r="L16" s="617"/>
      <c r="M16" s="617"/>
      <c r="N16" s="617"/>
    </row>
    <row r="17" spans="1:14">
      <c r="A17" s="587" t="s">
        <v>261</v>
      </c>
      <c r="D17" s="586">
        <v>25811535.578046337</v>
      </c>
      <c r="F17" s="623" t="s">
        <v>537</v>
      </c>
      <c r="G17" s="623"/>
      <c r="I17" s="617"/>
      <c r="J17" s="617"/>
      <c r="K17" s="617"/>
      <c r="L17" s="617"/>
      <c r="M17" s="617"/>
      <c r="N17" s="617"/>
    </row>
    <row r="18" spans="1:14">
      <c r="A18" s="587" t="s">
        <v>266</v>
      </c>
      <c r="D18" s="586">
        <v>675583052.13072968</v>
      </c>
      <c r="F18" s="623" t="s">
        <v>538</v>
      </c>
      <c r="G18" s="623"/>
      <c r="I18" s="617"/>
      <c r="J18" s="617"/>
      <c r="K18" s="617"/>
      <c r="L18" s="617"/>
      <c r="M18" s="617"/>
      <c r="N18" s="617"/>
    </row>
    <row r="19" spans="1:14">
      <c r="A19" s="587" t="s">
        <v>262</v>
      </c>
      <c r="D19" s="586">
        <v>10480484.077333149</v>
      </c>
      <c r="F19" s="623" t="s">
        <v>539</v>
      </c>
      <c r="G19" s="623"/>
      <c r="I19" s="617"/>
      <c r="J19" s="617"/>
      <c r="K19" s="617"/>
      <c r="L19" s="617"/>
      <c r="M19" s="617"/>
      <c r="N19" s="617"/>
    </row>
    <row r="20" spans="1:14">
      <c r="A20" s="587" t="s">
        <v>267</v>
      </c>
      <c r="D20" s="586">
        <v>331839388</v>
      </c>
      <c r="F20" s="623" t="s">
        <v>540</v>
      </c>
      <c r="G20" s="623"/>
      <c r="I20" s="617"/>
      <c r="J20" s="617"/>
      <c r="K20" s="617"/>
      <c r="L20" s="617"/>
      <c r="M20" s="617"/>
      <c r="N20" s="617"/>
    </row>
    <row r="21" spans="1:14">
      <c r="A21" s="587" t="s">
        <v>269</v>
      </c>
      <c r="D21" s="586">
        <v>452814683</v>
      </c>
      <c r="F21" s="623" t="s">
        <v>541</v>
      </c>
      <c r="G21" s="623"/>
      <c r="I21" s="617"/>
      <c r="J21" s="617"/>
      <c r="K21" s="617"/>
      <c r="L21" s="617"/>
      <c r="M21" s="617"/>
      <c r="N21" s="617"/>
    </row>
    <row r="22" spans="1:14">
      <c r="A22" s="587" t="s">
        <v>268</v>
      </c>
      <c r="D22" s="586">
        <v>50391402.280106425</v>
      </c>
      <c r="F22" s="623" t="s">
        <v>542</v>
      </c>
      <c r="G22" s="623"/>
      <c r="I22" s="617"/>
      <c r="J22" s="617"/>
      <c r="K22" s="617"/>
      <c r="L22" s="617"/>
      <c r="M22" s="617"/>
      <c r="N22" s="617"/>
    </row>
    <row r="23" spans="1:14">
      <c r="A23" s="587" t="s">
        <v>263</v>
      </c>
      <c r="D23" s="586">
        <v>5213090.2355687255</v>
      </c>
      <c r="F23" s="623" t="s">
        <v>543</v>
      </c>
      <c r="G23" s="623"/>
      <c r="I23" s="617"/>
      <c r="J23" s="617"/>
      <c r="K23" s="617"/>
      <c r="L23" s="617"/>
      <c r="M23" s="617"/>
      <c r="N23" s="617"/>
    </row>
    <row r="24" spans="1:14">
      <c r="A24" s="609" t="s">
        <v>264</v>
      </c>
      <c r="D24" s="586">
        <v>13880887</v>
      </c>
      <c r="F24" s="623" t="s">
        <v>544</v>
      </c>
      <c r="G24" s="623"/>
      <c r="I24" s="617"/>
      <c r="J24" s="617"/>
      <c r="K24" s="617"/>
      <c r="L24" s="617"/>
      <c r="M24" s="617"/>
      <c r="N24" s="617"/>
    </row>
    <row r="25" spans="1:14">
      <c r="A25" s="581"/>
      <c r="D25" s="591"/>
      <c r="F25" s="623"/>
      <c r="G25" s="623"/>
      <c r="I25" s="617"/>
      <c r="J25" s="617"/>
      <c r="K25" s="617"/>
      <c r="L25" s="617"/>
      <c r="M25" s="617"/>
      <c r="N25" s="617"/>
    </row>
    <row r="26" spans="1:14">
      <c r="A26" s="594" t="s">
        <v>271</v>
      </c>
      <c r="D26" s="608"/>
      <c r="F26" s="623"/>
      <c r="G26" s="623"/>
      <c r="I26" s="617"/>
      <c r="J26" s="617"/>
      <c r="K26" s="617"/>
      <c r="L26" s="617"/>
      <c r="M26" s="617"/>
      <c r="N26" s="617"/>
    </row>
    <row r="27" spans="1:14">
      <c r="A27" s="580" t="s">
        <v>32</v>
      </c>
      <c r="D27" s="586">
        <f>SUM(D5:D14)</f>
        <v>5742036313.6070423</v>
      </c>
      <c r="F27" s="623" t="s">
        <v>559</v>
      </c>
      <c r="G27" s="623"/>
      <c r="I27" s="617"/>
      <c r="J27" s="617"/>
      <c r="K27" s="617"/>
      <c r="L27" s="617"/>
      <c r="M27" s="617"/>
      <c r="N27" s="617"/>
    </row>
    <row r="28" spans="1:14">
      <c r="A28" s="578" t="s">
        <v>259</v>
      </c>
      <c r="D28" s="586">
        <f>SUM(D15:D24)</f>
        <v>3106686569.900198</v>
      </c>
      <c r="F28" s="623" t="s">
        <v>560</v>
      </c>
      <c r="G28" s="623"/>
      <c r="I28" s="617"/>
      <c r="J28" s="617"/>
      <c r="K28" s="617"/>
      <c r="L28" s="617"/>
      <c r="M28" s="617"/>
      <c r="N28" s="617"/>
    </row>
    <row r="29" spans="1:14">
      <c r="A29" s="602"/>
      <c r="D29" s="591"/>
      <c r="F29" s="623"/>
      <c r="G29" s="623"/>
      <c r="I29" s="617"/>
      <c r="J29" s="617"/>
      <c r="K29" s="617"/>
      <c r="L29" s="617"/>
      <c r="M29" s="617"/>
      <c r="N29" s="617"/>
    </row>
    <row r="30" spans="1:14">
      <c r="A30" s="590" t="s">
        <v>357</v>
      </c>
      <c r="D30" s="586">
        <f>D27+D28</f>
        <v>8848722883.5072403</v>
      </c>
      <c r="F30" s="623" t="s">
        <v>561</v>
      </c>
      <c r="G30" s="623"/>
      <c r="I30" s="617"/>
      <c r="J30" s="617"/>
      <c r="K30" s="617"/>
      <c r="L30" s="617"/>
      <c r="M30" s="617"/>
      <c r="N30" s="617"/>
    </row>
    <row r="31" spans="1:14">
      <c r="A31" s="602"/>
      <c r="D31" s="583">
        <v>8.3914183815001694E-3</v>
      </c>
      <c r="F31" s="623" t="s">
        <v>562</v>
      </c>
      <c r="G31" s="623"/>
      <c r="I31" s="617"/>
      <c r="J31" s="617"/>
      <c r="K31" s="617"/>
      <c r="L31" s="617"/>
      <c r="M31" s="617"/>
      <c r="N31" s="617"/>
    </row>
    <row r="32" spans="1:14">
      <c r="A32" s="602"/>
      <c r="D32" s="605"/>
      <c r="F32" s="623"/>
      <c r="G32" s="623"/>
      <c r="I32" s="617"/>
      <c r="J32" s="617"/>
      <c r="K32" s="617"/>
      <c r="L32" s="617"/>
      <c r="M32" s="617"/>
      <c r="N32" s="617"/>
    </row>
    <row r="33" spans="1:14">
      <c r="A33" s="602"/>
      <c r="D33" s="605"/>
      <c r="F33" s="623"/>
      <c r="G33" s="623"/>
      <c r="I33" s="617"/>
      <c r="J33" s="617"/>
      <c r="K33" s="617"/>
      <c r="L33" s="617"/>
      <c r="M33" s="617"/>
      <c r="N33" s="617"/>
    </row>
    <row r="34" spans="1:14">
      <c r="A34" s="601" t="s">
        <v>513</v>
      </c>
      <c r="D34" s="605"/>
      <c r="F34" s="623"/>
      <c r="G34" s="623"/>
      <c r="I34" s="617"/>
      <c r="J34" s="617"/>
      <c r="K34" s="617"/>
      <c r="L34" s="617"/>
      <c r="M34" s="617"/>
      <c r="N34" s="617"/>
    </row>
    <row r="35" spans="1:14">
      <c r="A35" s="602" t="s">
        <v>514</v>
      </c>
      <c r="D35" s="586">
        <v>9434612307.8230515</v>
      </c>
      <c r="F35" s="623" t="s">
        <v>563</v>
      </c>
      <c r="G35" s="623"/>
    </row>
    <row r="36" spans="1:14">
      <c r="A36" s="602" t="s">
        <v>515</v>
      </c>
      <c r="D36" s="586">
        <v>585889424.31581163</v>
      </c>
      <c r="F36" s="623" t="s">
        <v>564</v>
      </c>
      <c r="G36" s="623"/>
    </row>
    <row r="37" spans="1:14">
      <c r="F37" s="623"/>
      <c r="G37" s="623"/>
    </row>
    <row r="38" spans="1:14">
      <c r="A38" s="602" t="s">
        <v>516</v>
      </c>
      <c r="D38" s="586">
        <f>D35-D36</f>
        <v>8848722883.5072403</v>
      </c>
      <c r="F38" s="623" t="s">
        <v>565</v>
      </c>
      <c r="G38" s="623"/>
    </row>
    <row r="39" spans="1:14">
      <c r="F39" s="623"/>
      <c r="G39" s="623"/>
    </row>
    <row r="40" spans="1:14">
      <c r="A40" s="584" t="s">
        <v>517</v>
      </c>
      <c r="D40" s="598">
        <f>D38-D30</f>
        <v>0</v>
      </c>
      <c r="F40" s="623" t="s">
        <v>566</v>
      </c>
      <c r="G40" s="623"/>
    </row>
    <row r="150" spans="2:2">
      <c r="B150" s="617"/>
    </row>
    <row r="152" spans="2:2">
      <c r="B152" s="617"/>
    </row>
    <row r="154" spans="2:2">
      <c r="B154" s="617"/>
    </row>
    <row r="164" spans="2:2">
      <c r="B164" s="617"/>
    </row>
    <row r="166" spans="2:2">
      <c r="B166" s="617"/>
    </row>
    <row r="170" spans="2:2">
      <c r="B170" s="617"/>
    </row>
    <row r="172" spans="2:2">
      <c r="B172" s="617"/>
    </row>
    <row r="176" spans="2:2">
      <c r="B176" s="617"/>
    </row>
    <row r="186" spans="2:2">
      <c r="B186" s="617"/>
    </row>
    <row r="188" spans="2:2">
      <c r="B188" s="617"/>
    </row>
    <row r="190" spans="2:2">
      <c r="B190" s="617"/>
    </row>
    <row r="192" spans="2:2" ht="14.4">
      <c r="B192" s="668"/>
    </row>
    <row r="196" spans="2:2">
      <c r="B196" s="617"/>
    </row>
    <row r="242" spans="9:9">
      <c r="I242" s="665"/>
    </row>
    <row r="243" spans="9:9">
      <c r="I243" s="665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4" zoomScaleNormal="100" workbookViewId="0">
      <selection activeCell="U37" sqref="U37"/>
    </sheetView>
  </sheetViews>
  <sheetFormatPr defaultColWidth="9.109375" defaultRowHeight="13.2"/>
  <cols>
    <col min="1" max="1" width="22.109375" style="446" customWidth="1"/>
    <col min="2" max="2" width="9.109375" style="446"/>
    <col min="3" max="3" width="9.44140625" style="446" customWidth="1"/>
    <col min="4" max="4" width="9.88671875" style="446" customWidth="1"/>
    <col min="5" max="5" width="8" style="446" customWidth="1"/>
    <col min="6" max="6" width="12.109375" style="446" customWidth="1"/>
    <col min="7" max="7" width="3.6640625" style="446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46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29"/>
    </row>
    <row r="2" spans="1:17">
      <c r="A2" s="55" t="s">
        <v>126</v>
      </c>
      <c r="B2" s="55"/>
      <c r="C2" s="55"/>
      <c r="D2" s="55"/>
      <c r="E2" s="55"/>
      <c r="F2" s="55"/>
      <c r="G2" s="55"/>
      <c r="H2" s="729"/>
    </row>
    <row r="3" spans="1:17">
      <c r="A3" s="56" t="s">
        <v>610</v>
      </c>
      <c r="B3" s="55"/>
      <c r="C3" s="55"/>
      <c r="D3" s="55"/>
      <c r="E3" s="55"/>
      <c r="F3" s="55"/>
      <c r="G3" s="55"/>
      <c r="H3" s="729"/>
    </row>
    <row r="4" spans="1:17">
      <c r="G4" s="72"/>
      <c r="L4" s="730"/>
      <c r="M4" s="730"/>
      <c r="N4" s="730"/>
      <c r="O4" s="730"/>
    </row>
    <row r="5" spans="1:17">
      <c r="D5" s="725" t="s">
        <v>625</v>
      </c>
      <c r="G5" s="72"/>
      <c r="L5" s="730"/>
      <c r="M5" s="730"/>
      <c r="N5" s="730"/>
      <c r="O5" s="730"/>
    </row>
    <row r="6" spans="1:17">
      <c r="D6" s="447" t="s">
        <v>89</v>
      </c>
      <c r="E6" s="447"/>
      <c r="F6" s="447" t="s">
        <v>8</v>
      </c>
      <c r="G6" s="72"/>
      <c r="L6" s="726"/>
      <c r="M6" s="726"/>
      <c r="N6" s="726"/>
      <c r="O6" s="730"/>
    </row>
    <row r="7" spans="1:17">
      <c r="D7" s="447" t="s">
        <v>88</v>
      </c>
      <c r="E7" s="447"/>
      <c r="F7" s="447" t="s">
        <v>5</v>
      </c>
      <c r="G7" s="72"/>
      <c r="L7" s="726"/>
      <c r="M7" s="726"/>
      <c r="N7" s="726"/>
      <c r="O7" s="730"/>
    </row>
    <row r="8" spans="1:17">
      <c r="D8" s="58" t="s">
        <v>98</v>
      </c>
      <c r="E8" s="58"/>
      <c r="F8" s="58" t="s">
        <v>127</v>
      </c>
      <c r="G8" s="73"/>
      <c r="L8" s="535"/>
      <c r="M8" s="535"/>
      <c r="N8" s="535"/>
      <c r="O8" s="730"/>
    </row>
    <row r="9" spans="1:17">
      <c r="A9" s="446" t="s">
        <v>9</v>
      </c>
      <c r="E9" s="1"/>
      <c r="F9" s="756">
        <v>0.64710000000000001</v>
      </c>
      <c r="G9" s="74"/>
      <c r="L9" s="730"/>
      <c r="M9" s="731"/>
      <c r="N9" s="731"/>
      <c r="O9" s="730"/>
    </row>
    <row r="10" spans="1:17">
      <c r="G10" s="72"/>
      <c r="L10" s="730"/>
      <c r="M10" s="730"/>
      <c r="N10" s="730"/>
      <c r="O10" s="730"/>
    </row>
    <row r="11" spans="1:17">
      <c r="A11" s="446" t="s">
        <v>10</v>
      </c>
      <c r="D11" s="59">
        <v>94264</v>
      </c>
      <c r="E11" s="59"/>
      <c r="F11" s="59">
        <f>ROUND(F$9*D11,0)</f>
        <v>60998</v>
      </c>
      <c r="G11" s="65"/>
      <c r="H11" s="732"/>
      <c r="L11" s="733"/>
      <c r="M11" s="733"/>
      <c r="N11" s="733"/>
      <c r="O11" s="730"/>
    </row>
    <row r="12" spans="1:17">
      <c r="A12" s="446" t="s">
        <v>11</v>
      </c>
      <c r="D12" s="60">
        <v>475</v>
      </c>
      <c r="E12" s="60"/>
      <c r="F12" s="60">
        <f>ROUND(F$9*D12,0)</f>
        <v>307</v>
      </c>
      <c r="G12" s="62"/>
      <c r="H12" s="732"/>
      <c r="L12" s="734"/>
      <c r="M12" s="734"/>
      <c r="N12" s="734"/>
      <c r="O12" s="730"/>
    </row>
    <row r="13" spans="1:17">
      <c r="A13" s="446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32"/>
      <c r="L13" s="734"/>
      <c r="M13" s="734"/>
      <c r="N13" s="734"/>
      <c r="O13" s="730"/>
    </row>
    <row r="14" spans="1:17">
      <c r="A14" s="446" t="s">
        <v>403</v>
      </c>
      <c r="C14" s="570" t="s">
        <v>98</v>
      </c>
      <c r="D14" s="341">
        <f>16406-D15-D16</f>
        <v>16264</v>
      </c>
      <c r="E14" s="60"/>
      <c r="F14" s="60">
        <f t="shared" si="0"/>
        <v>10524</v>
      </c>
      <c r="G14" s="62"/>
      <c r="H14" s="732"/>
      <c r="I14" s="735"/>
      <c r="J14" s="735"/>
      <c r="K14" s="736"/>
      <c r="L14" s="736"/>
      <c r="N14" s="734"/>
      <c r="O14" s="730"/>
    </row>
    <row r="15" spans="1:17" s="570" customFormat="1">
      <c r="A15" s="570" t="s">
        <v>403</v>
      </c>
      <c r="C15" s="570" t="s">
        <v>506</v>
      </c>
      <c r="D15" s="341">
        <v>98</v>
      </c>
      <c r="E15" s="60"/>
      <c r="F15" s="60">
        <f>D15</f>
        <v>98</v>
      </c>
      <c r="G15" s="62"/>
      <c r="H15" s="737"/>
      <c r="I15" s="38"/>
      <c r="J15" s="38"/>
      <c r="K15" s="38"/>
      <c r="L15" s="734"/>
      <c r="M15" s="734"/>
      <c r="N15" s="734"/>
      <c r="O15" s="730"/>
      <c r="P15" s="75"/>
      <c r="Q15" s="75"/>
    </row>
    <row r="16" spans="1:17" s="570" customFormat="1">
      <c r="A16" s="570" t="s">
        <v>403</v>
      </c>
      <c r="C16" s="570" t="s">
        <v>507</v>
      </c>
      <c r="D16" s="341">
        <v>44</v>
      </c>
      <c r="E16" s="60"/>
      <c r="F16" s="60">
        <v>0</v>
      </c>
      <c r="G16" s="62"/>
      <c r="H16" s="737"/>
      <c r="I16" s="38"/>
      <c r="J16" s="38"/>
      <c r="K16" s="38"/>
      <c r="L16" s="734"/>
      <c r="M16" s="734"/>
      <c r="N16" s="734"/>
      <c r="O16" s="730"/>
      <c r="P16" s="75"/>
      <c r="Q16" s="75"/>
    </row>
    <row r="17" spans="1:15">
      <c r="A17" s="446" t="s">
        <v>13</v>
      </c>
      <c r="D17" s="713">
        <f>4169-D18</f>
        <v>4006</v>
      </c>
      <c r="E17" s="60"/>
      <c r="F17" s="60">
        <f t="shared" si="0"/>
        <v>2592</v>
      </c>
      <c r="G17" s="62"/>
      <c r="H17" s="732"/>
      <c r="L17" s="734"/>
      <c r="M17" s="734"/>
      <c r="N17" s="734"/>
      <c r="O17" s="730"/>
    </row>
    <row r="18" spans="1:15">
      <c r="A18" s="446" t="s">
        <v>128</v>
      </c>
      <c r="D18" s="342">
        <v>163</v>
      </c>
      <c r="E18" s="62"/>
      <c r="F18" s="60">
        <f>D18</f>
        <v>163</v>
      </c>
      <c r="G18" s="62"/>
      <c r="H18" s="732"/>
      <c r="L18" s="734"/>
      <c r="M18" s="734"/>
      <c r="N18" s="734"/>
      <c r="O18" s="730"/>
    </row>
    <row r="19" spans="1:15">
      <c r="A19" s="446" t="s">
        <v>14</v>
      </c>
      <c r="D19" s="60">
        <f>SUM(D11:D18)</f>
        <v>115314</v>
      </c>
      <c r="E19" s="62"/>
      <c r="F19" s="454">
        <f>SUM(F11:F18)</f>
        <v>74682</v>
      </c>
      <c r="G19" s="62"/>
      <c r="H19" s="732"/>
      <c r="L19" s="734"/>
      <c r="M19" s="734"/>
      <c r="N19" s="734"/>
      <c r="O19" s="730"/>
    </row>
    <row r="20" spans="1:15">
      <c r="D20" s="60"/>
      <c r="E20" s="62"/>
      <c r="F20" s="60"/>
      <c r="G20" s="62"/>
      <c r="H20" s="732"/>
      <c r="L20" s="734"/>
      <c r="M20" s="734"/>
      <c r="N20" s="734"/>
      <c r="O20" s="730"/>
    </row>
    <row r="21" spans="1:15">
      <c r="D21" s="60"/>
      <c r="E21" s="62"/>
      <c r="F21" s="60"/>
      <c r="G21" s="62"/>
      <c r="H21" s="732"/>
      <c r="L21" s="734"/>
      <c r="M21" s="734"/>
      <c r="N21" s="734"/>
      <c r="O21" s="730"/>
    </row>
    <row r="22" spans="1:15">
      <c r="A22" s="446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32"/>
      <c r="L22" s="734"/>
      <c r="M22" s="734"/>
      <c r="N22" s="734"/>
      <c r="O22" s="730"/>
    </row>
    <row r="23" spans="1:15">
      <c r="A23" s="446" t="s">
        <v>16</v>
      </c>
      <c r="D23" s="60">
        <v>0</v>
      </c>
      <c r="E23" s="62"/>
      <c r="F23" s="60">
        <f t="shared" si="1"/>
        <v>0</v>
      </c>
      <c r="G23" s="62"/>
      <c r="H23" s="732"/>
      <c r="L23" s="734"/>
      <c r="M23" s="734"/>
      <c r="N23" s="734"/>
      <c r="O23" s="730"/>
    </row>
    <row r="24" spans="1:15">
      <c r="A24" s="446" t="s">
        <v>17</v>
      </c>
      <c r="D24" s="60">
        <v>55782</v>
      </c>
      <c r="E24" s="62"/>
      <c r="F24" s="60">
        <f t="shared" si="1"/>
        <v>36097</v>
      </c>
      <c r="G24" s="62"/>
      <c r="H24" s="732"/>
      <c r="L24" s="734"/>
      <c r="M24" s="734"/>
      <c r="N24" s="734"/>
      <c r="O24" s="730"/>
    </row>
    <row r="25" spans="1:15">
      <c r="A25" s="446" t="s">
        <v>18</v>
      </c>
      <c r="D25" s="60">
        <v>983</v>
      </c>
      <c r="E25" s="62"/>
      <c r="F25" s="60">
        <f t="shared" si="1"/>
        <v>636</v>
      </c>
      <c r="G25" s="62"/>
      <c r="H25" s="732"/>
      <c r="L25" s="734"/>
      <c r="M25" s="734"/>
      <c r="N25" s="734"/>
      <c r="O25" s="730"/>
    </row>
    <row r="26" spans="1:15">
      <c r="A26" s="446" t="s">
        <v>19</v>
      </c>
      <c r="D26" s="60">
        <v>180254</v>
      </c>
      <c r="E26" s="62"/>
      <c r="F26" s="60">
        <f>ROUND(F$9*D26,0)-1</f>
        <v>116641</v>
      </c>
      <c r="G26" s="62"/>
      <c r="H26" s="732"/>
      <c r="L26" s="734"/>
      <c r="M26" s="734"/>
      <c r="N26" s="734"/>
      <c r="O26" s="730"/>
    </row>
    <row r="27" spans="1:15">
      <c r="A27" s="446" t="s">
        <v>20</v>
      </c>
      <c r="D27" s="60">
        <v>0</v>
      </c>
      <c r="E27" s="62"/>
      <c r="F27" s="60">
        <f t="shared" si="1"/>
        <v>0</v>
      </c>
      <c r="G27" s="62"/>
      <c r="H27" s="732"/>
      <c r="I27" s="38"/>
      <c r="J27" s="38"/>
      <c r="K27" s="38"/>
      <c r="L27" s="734"/>
      <c r="M27" s="734"/>
      <c r="N27" s="734"/>
      <c r="O27" s="730"/>
    </row>
    <row r="28" spans="1:15">
      <c r="A28" s="446" t="s">
        <v>21</v>
      </c>
      <c r="D28" s="60">
        <v>0</v>
      </c>
      <c r="E28" s="62"/>
      <c r="F28" s="60">
        <f t="shared" si="1"/>
        <v>0</v>
      </c>
      <c r="G28" s="62"/>
      <c r="H28" s="732"/>
      <c r="I28" s="38"/>
      <c r="J28" s="38"/>
      <c r="K28" s="38"/>
      <c r="L28" s="734"/>
      <c r="M28" s="734"/>
      <c r="N28" s="734"/>
      <c r="O28" s="730"/>
    </row>
    <row r="29" spans="1:15">
      <c r="A29" s="446" t="s">
        <v>22</v>
      </c>
      <c r="D29" s="60">
        <v>0</v>
      </c>
      <c r="E29" s="62"/>
      <c r="F29" s="60">
        <f t="shared" si="1"/>
        <v>0</v>
      </c>
      <c r="G29" s="62"/>
      <c r="H29" s="732"/>
      <c r="I29" s="38"/>
      <c r="J29" s="38"/>
      <c r="K29" s="38"/>
      <c r="L29" s="734"/>
      <c r="M29" s="734"/>
      <c r="N29" s="734"/>
      <c r="O29" s="730"/>
    </row>
    <row r="30" spans="1:15">
      <c r="A30" s="446" t="s">
        <v>23</v>
      </c>
      <c r="D30" s="341">
        <f>2977-D31</f>
        <v>581</v>
      </c>
      <c r="E30" s="62"/>
      <c r="F30" s="60">
        <f t="shared" si="1"/>
        <v>376</v>
      </c>
      <c r="G30" s="62"/>
      <c r="H30" s="738"/>
      <c r="I30" s="740"/>
      <c r="J30" s="740"/>
      <c r="K30" s="740"/>
      <c r="L30" s="740"/>
      <c r="M30" s="734"/>
      <c r="N30" s="734"/>
      <c r="O30" s="730"/>
    </row>
    <row r="31" spans="1:15">
      <c r="A31" s="446" t="s">
        <v>129</v>
      </c>
      <c r="D31" s="341">
        <f>735+1661</f>
        <v>2396</v>
      </c>
      <c r="E31" s="62"/>
      <c r="F31" s="60">
        <f>D31</f>
        <v>2396</v>
      </c>
      <c r="G31" s="62"/>
      <c r="H31" s="738"/>
      <c r="I31" s="740"/>
      <c r="J31" s="740"/>
      <c r="K31" s="740"/>
      <c r="L31" s="740"/>
      <c r="M31" s="734"/>
      <c r="N31" s="734"/>
      <c r="O31" s="730"/>
    </row>
    <row r="32" spans="1:15">
      <c r="A32" s="446" t="s">
        <v>24</v>
      </c>
      <c r="D32" s="60">
        <v>18896</v>
      </c>
      <c r="E32" s="62"/>
      <c r="F32" s="60">
        <f t="shared" si="1"/>
        <v>12228</v>
      </c>
      <c r="G32" s="62"/>
      <c r="H32" s="732"/>
      <c r="I32" s="38"/>
      <c r="J32" s="38"/>
      <c r="K32" s="38"/>
      <c r="L32" s="734"/>
      <c r="M32" s="734"/>
      <c r="N32" s="734"/>
      <c r="O32" s="730"/>
    </row>
    <row r="33" spans="1:17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  <c r="I33" s="741"/>
      <c r="J33" s="741"/>
      <c r="K33" s="741"/>
      <c r="L33" s="741"/>
      <c r="M33" s="38"/>
      <c r="N33" s="75"/>
      <c r="O33" s="75"/>
      <c r="P33" s="75"/>
      <c r="Q33" s="75"/>
    </row>
    <row r="34" spans="1:17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  <c r="I34" s="741"/>
      <c r="J34" s="741"/>
      <c r="K34" s="741"/>
      <c r="L34" s="741"/>
      <c r="M34" s="38"/>
      <c r="N34" s="75"/>
      <c r="O34" s="75"/>
      <c r="P34" s="75"/>
      <c r="Q34" s="75"/>
    </row>
    <row r="35" spans="1:17">
      <c r="A35" s="446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32"/>
      <c r="I35" s="38"/>
      <c r="J35" s="38"/>
      <c r="K35" s="38"/>
      <c r="L35" s="734"/>
      <c r="M35" s="734"/>
      <c r="N35" s="734"/>
      <c r="O35" s="730"/>
    </row>
    <row r="36" spans="1:17">
      <c r="G36" s="72"/>
      <c r="H36" s="732"/>
      <c r="I36" s="38"/>
      <c r="J36" s="38"/>
      <c r="K36" s="38"/>
      <c r="L36" s="730"/>
      <c r="M36" s="730"/>
      <c r="N36" s="730"/>
      <c r="O36" s="730"/>
    </row>
    <row r="37" spans="1:17">
      <c r="A37" s="446" t="s">
        <v>26</v>
      </c>
      <c r="D37" s="60">
        <f>D19-D35</f>
        <v>-170998</v>
      </c>
      <c r="E37" s="60"/>
      <c r="F37" s="60">
        <f>F19-F35</f>
        <v>-111435</v>
      </c>
      <c r="G37" s="62"/>
      <c r="H37" s="732"/>
      <c r="L37" s="734"/>
      <c r="M37" s="734"/>
      <c r="N37" s="734"/>
      <c r="O37" s="730"/>
    </row>
    <row r="38" spans="1:17">
      <c r="E38" s="60"/>
      <c r="F38" s="60"/>
      <c r="G38" s="60"/>
      <c r="L38" s="730"/>
      <c r="M38" s="734"/>
      <c r="N38" s="734"/>
      <c r="O38" s="730"/>
    </row>
    <row r="39" spans="1:17">
      <c r="A39" s="446" t="s">
        <v>27</v>
      </c>
      <c r="C39" s="64">
        <v>0.35</v>
      </c>
      <c r="E39" s="65"/>
      <c r="F39" s="61">
        <f>C39*F37</f>
        <v>-39002.25</v>
      </c>
      <c r="G39" s="59"/>
      <c r="L39" s="730"/>
      <c r="M39" s="733"/>
      <c r="N39" s="734"/>
      <c r="O39" s="730"/>
    </row>
    <row r="40" spans="1:17">
      <c r="E40" s="65"/>
      <c r="F40" s="59"/>
      <c r="G40" s="59"/>
      <c r="L40" s="730"/>
      <c r="M40" s="733"/>
      <c r="N40" s="733"/>
      <c r="O40" s="730"/>
    </row>
    <row r="41" spans="1:17">
      <c r="A41" s="446" t="s">
        <v>28</v>
      </c>
      <c r="E41" s="60"/>
      <c r="F41" s="59">
        <f>F37-F39</f>
        <v>-72432.75</v>
      </c>
      <c r="G41" s="60"/>
      <c r="L41" s="730"/>
      <c r="M41" s="734"/>
      <c r="N41" s="733"/>
      <c r="O41" s="730"/>
    </row>
    <row r="42" spans="1:17">
      <c r="E42" s="60"/>
      <c r="F42" s="60"/>
      <c r="G42" s="60"/>
      <c r="L42" s="730"/>
      <c r="M42" s="730"/>
      <c r="N42" s="730"/>
      <c r="O42" s="730"/>
    </row>
    <row r="43" spans="1:17">
      <c r="A43" s="75"/>
      <c r="L43" s="730"/>
      <c r="M43" s="730"/>
      <c r="N43" s="730"/>
      <c r="O43" s="730"/>
    </row>
    <row r="44" spans="1:17">
      <c r="A44" s="75"/>
      <c r="L44" s="730"/>
      <c r="M44" s="730"/>
      <c r="N44" s="730"/>
      <c r="O44" s="730"/>
    </row>
    <row r="45" spans="1:17">
      <c r="A45" s="75"/>
      <c r="L45" s="730"/>
      <c r="M45" s="730"/>
      <c r="N45" s="730"/>
      <c r="O45" s="730"/>
    </row>
    <row r="46" spans="1:17">
      <c r="A46" s="757" t="s">
        <v>574</v>
      </c>
      <c r="B46" s="757"/>
      <c r="C46" s="757"/>
      <c r="D46" s="758">
        <v>5764</v>
      </c>
      <c r="E46" s="759"/>
      <c r="F46" s="758">
        <f>F$9*D46</f>
        <v>3729.8843999999999</v>
      </c>
      <c r="G46" s="759"/>
      <c r="H46" s="760" t="s">
        <v>673</v>
      </c>
      <c r="L46" s="730"/>
      <c r="M46" s="730"/>
      <c r="N46" s="730"/>
      <c r="O46" s="730"/>
    </row>
    <row r="47" spans="1:17">
      <c r="A47" s="757" t="s">
        <v>575</v>
      </c>
      <c r="B47" s="757"/>
      <c r="C47" s="757"/>
      <c r="D47" s="758">
        <v>12979</v>
      </c>
      <c r="E47" s="759"/>
      <c r="F47" s="758">
        <f>F$9*D47</f>
        <v>8398.7109</v>
      </c>
      <c r="G47" s="759"/>
      <c r="H47" s="760" t="s">
        <v>673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8671875" defaultRowHeight="13.2"/>
  <cols>
    <col min="1" max="1" width="11.33203125" style="672" bestFit="1" customWidth="1"/>
    <col min="2" max="2" width="41" style="672" bestFit="1" customWidth="1"/>
    <col min="3" max="3" width="19.6640625" style="672" bestFit="1" customWidth="1"/>
    <col min="4" max="4" width="11.109375" style="672" bestFit="1" customWidth="1"/>
    <col min="5" max="5" width="20.6640625" style="672" customWidth="1"/>
    <col min="6" max="6" width="10.33203125" style="672" customWidth="1"/>
    <col min="7" max="7" width="12.6640625" style="672" bestFit="1" customWidth="1"/>
    <col min="8" max="8" width="18.33203125" style="672" customWidth="1"/>
    <col min="9" max="9" width="14.5546875" style="672" customWidth="1"/>
    <col min="10" max="10" width="12.6640625" style="672" customWidth="1"/>
    <col min="11" max="16384" width="8.88671875" style="672"/>
  </cols>
  <sheetData>
    <row r="1" spans="1:10">
      <c r="A1" s="236" t="s">
        <v>626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81" t="s">
        <v>583</v>
      </c>
      <c r="B3" s="682" t="s">
        <v>584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683"/>
      <c r="B5" s="684"/>
      <c r="C5" s="685"/>
      <c r="D5" s="686"/>
      <c r="E5" s="687" t="s">
        <v>585</v>
      </c>
      <c r="F5" s="688"/>
      <c r="G5" s="688"/>
      <c r="H5" s="689"/>
      <c r="I5" s="703" t="s">
        <v>89</v>
      </c>
      <c r="J5" s="703" t="s">
        <v>663</v>
      </c>
    </row>
    <row r="6" spans="1:10" ht="13.8">
      <c r="A6" s="690"/>
      <c r="B6" s="691"/>
      <c r="C6" s="692"/>
      <c r="D6" s="693" t="s">
        <v>586</v>
      </c>
      <c r="E6" s="693" t="s">
        <v>587</v>
      </c>
      <c r="F6" s="693" t="s">
        <v>259</v>
      </c>
      <c r="G6" s="693" t="s">
        <v>32</v>
      </c>
      <c r="H6" s="694" t="s">
        <v>588</v>
      </c>
      <c r="I6" s="703" t="s">
        <v>88</v>
      </c>
      <c r="J6" s="703"/>
    </row>
    <row r="7" spans="1:10" ht="13.8">
      <c r="A7" s="693" t="s">
        <v>589</v>
      </c>
      <c r="B7" s="693" t="s">
        <v>627</v>
      </c>
      <c r="C7" s="693" t="s">
        <v>590</v>
      </c>
      <c r="D7" s="695"/>
      <c r="E7" s="695"/>
      <c r="F7" s="695"/>
      <c r="G7" s="695"/>
      <c r="H7" s="695"/>
    </row>
    <row r="8" spans="1:10" ht="13.8">
      <c r="A8" s="696" t="s">
        <v>628</v>
      </c>
      <c r="B8" s="696" t="s">
        <v>629</v>
      </c>
      <c r="C8" s="693" t="s">
        <v>630</v>
      </c>
      <c r="D8" s="695"/>
      <c r="E8" s="697">
        <v>10582</v>
      </c>
      <c r="F8" s="697" t="s">
        <v>593</v>
      </c>
      <c r="G8" s="697" t="s">
        <v>593</v>
      </c>
      <c r="H8" s="697">
        <v>10582</v>
      </c>
    </row>
    <row r="9" spans="1:10" ht="13.8">
      <c r="A9" s="698"/>
      <c r="B9" s="698"/>
      <c r="C9" s="693" t="s">
        <v>631</v>
      </c>
      <c r="D9" s="695"/>
      <c r="E9" s="697">
        <v>889279.74</v>
      </c>
      <c r="F9" s="697" t="s">
        <v>593</v>
      </c>
      <c r="G9" s="697" t="s">
        <v>593</v>
      </c>
      <c r="H9" s="697">
        <v>889279.74</v>
      </c>
    </row>
    <row r="10" spans="1:10" ht="13.8">
      <c r="A10" s="698"/>
      <c r="B10" s="699"/>
      <c r="C10" s="693" t="s">
        <v>632</v>
      </c>
      <c r="D10" s="695"/>
      <c r="E10" s="697">
        <v>3679.62</v>
      </c>
      <c r="F10" s="697">
        <v>683.02</v>
      </c>
      <c r="G10" s="697">
        <v>38699.56</v>
      </c>
      <c r="H10" s="697">
        <v>43062.200000000004</v>
      </c>
    </row>
    <row r="11" spans="1:10" ht="13.8">
      <c r="A11" s="698"/>
      <c r="B11" s="693" t="s">
        <v>633</v>
      </c>
      <c r="C11" s="693" t="s">
        <v>634</v>
      </c>
      <c r="D11" s="695"/>
      <c r="E11" s="697">
        <v>16978.95</v>
      </c>
      <c r="F11" s="697" t="s">
        <v>593</v>
      </c>
      <c r="G11" s="697" t="s">
        <v>593</v>
      </c>
      <c r="H11" s="697">
        <v>16978.95</v>
      </c>
    </row>
    <row r="12" spans="1:10" ht="13.8">
      <c r="A12" s="698"/>
      <c r="B12" s="696" t="s">
        <v>635</v>
      </c>
      <c r="C12" s="693" t="s">
        <v>636</v>
      </c>
      <c r="D12" s="695"/>
      <c r="E12" s="697">
        <v>6800</v>
      </c>
      <c r="F12" s="697" t="s">
        <v>593</v>
      </c>
      <c r="G12" s="697" t="s">
        <v>593</v>
      </c>
      <c r="H12" s="697">
        <v>6800</v>
      </c>
    </row>
    <row r="13" spans="1:10" ht="13.8">
      <c r="A13" s="698"/>
      <c r="B13" s="698"/>
      <c r="C13" s="693" t="s">
        <v>637</v>
      </c>
      <c r="D13" s="695"/>
      <c r="E13" s="697">
        <v>7023.6900000000005</v>
      </c>
      <c r="F13" s="697" t="s">
        <v>593</v>
      </c>
      <c r="G13" s="697" t="s">
        <v>593</v>
      </c>
      <c r="H13" s="697">
        <v>7023.6900000000005</v>
      </c>
    </row>
    <row r="14" spans="1:10" ht="13.8">
      <c r="A14" s="698"/>
      <c r="B14" s="698"/>
      <c r="C14" s="693" t="s">
        <v>638</v>
      </c>
      <c r="D14" s="695"/>
      <c r="E14" s="697">
        <v>666530.53</v>
      </c>
      <c r="F14" s="697" t="s">
        <v>593</v>
      </c>
      <c r="G14" s="697" t="s">
        <v>593</v>
      </c>
      <c r="H14" s="697">
        <v>666530.53</v>
      </c>
    </row>
    <row r="15" spans="1:10" ht="13.8">
      <c r="A15" s="698"/>
      <c r="B15" s="699"/>
      <c r="C15" s="693" t="s">
        <v>639</v>
      </c>
      <c r="D15" s="695"/>
      <c r="E15" s="697">
        <v>456.12</v>
      </c>
      <c r="F15" s="697" t="s">
        <v>593</v>
      </c>
      <c r="G15" s="697" t="s">
        <v>593</v>
      </c>
      <c r="H15" s="697">
        <v>456.12</v>
      </c>
    </row>
    <row r="16" spans="1:10" ht="13.8">
      <c r="A16" s="699"/>
      <c r="B16" s="693" t="s">
        <v>640</v>
      </c>
      <c r="C16" s="693" t="s">
        <v>641</v>
      </c>
      <c r="D16" s="695"/>
      <c r="E16" s="697">
        <v>46995</v>
      </c>
      <c r="F16" s="697" t="s">
        <v>593</v>
      </c>
      <c r="G16" s="697" t="s">
        <v>593</v>
      </c>
      <c r="H16" s="697">
        <v>46995</v>
      </c>
    </row>
    <row r="17" spans="1:10" ht="13.8">
      <c r="A17" s="696" t="s">
        <v>642</v>
      </c>
      <c r="B17" s="696" t="s">
        <v>643</v>
      </c>
      <c r="C17" s="693" t="s">
        <v>644</v>
      </c>
      <c r="D17" s="695"/>
      <c r="E17" s="697">
        <v>-7723892.5</v>
      </c>
      <c r="F17" s="697" t="s">
        <v>593</v>
      </c>
      <c r="G17" s="697" t="s">
        <v>593</v>
      </c>
      <c r="H17" s="697">
        <v>-7723892.5</v>
      </c>
      <c r="I17" s="704">
        <f>H17</f>
        <v>-7723892.5</v>
      </c>
    </row>
    <row r="18" spans="1:10" ht="13.8">
      <c r="A18" s="698"/>
      <c r="B18" s="698"/>
      <c r="C18" s="693" t="s">
        <v>645</v>
      </c>
      <c r="D18" s="695"/>
      <c r="E18" s="697">
        <v>-2718369.75</v>
      </c>
      <c r="F18" s="697" t="s">
        <v>593</v>
      </c>
      <c r="G18" s="697" t="s">
        <v>593</v>
      </c>
      <c r="H18" s="697">
        <v>-2718369.75</v>
      </c>
      <c r="I18" s="704">
        <f t="shared" ref="I18:I23" si="0">H18</f>
        <v>-2718369.75</v>
      </c>
    </row>
    <row r="19" spans="1:10" ht="13.8">
      <c r="A19" s="699"/>
      <c r="B19" s="699"/>
      <c r="C19" s="693" t="s">
        <v>646</v>
      </c>
      <c r="D19" s="695"/>
      <c r="E19" s="697">
        <v>24.8</v>
      </c>
      <c r="F19" s="697" t="s">
        <v>593</v>
      </c>
      <c r="G19" s="697" t="s">
        <v>593</v>
      </c>
      <c r="H19" s="697">
        <v>24.8</v>
      </c>
      <c r="I19" s="704">
        <f t="shared" si="0"/>
        <v>24.8</v>
      </c>
    </row>
    <row r="20" spans="1:10" ht="13.8">
      <c r="A20" s="696" t="s">
        <v>647</v>
      </c>
      <c r="B20" s="696" t="s">
        <v>643</v>
      </c>
      <c r="C20" s="693" t="s">
        <v>648</v>
      </c>
      <c r="D20" s="695"/>
      <c r="E20" s="697">
        <v>855810.15</v>
      </c>
      <c r="F20" s="697" t="s">
        <v>593</v>
      </c>
      <c r="G20" s="697" t="s">
        <v>593</v>
      </c>
      <c r="H20" s="697">
        <v>855810.15</v>
      </c>
      <c r="I20" s="704">
        <f t="shared" si="0"/>
        <v>855810.15</v>
      </c>
    </row>
    <row r="21" spans="1:10" ht="13.8">
      <c r="A21" s="699"/>
      <c r="B21" s="699"/>
      <c r="C21" s="693" t="s">
        <v>649</v>
      </c>
      <c r="D21" s="695"/>
      <c r="E21" s="697">
        <v>29287951.550000001</v>
      </c>
      <c r="F21" s="697" t="s">
        <v>593</v>
      </c>
      <c r="G21" s="697" t="s">
        <v>593</v>
      </c>
      <c r="H21" s="697">
        <v>29287951.550000001</v>
      </c>
      <c r="I21" s="704">
        <f t="shared" si="0"/>
        <v>29287951.550000001</v>
      </c>
    </row>
    <row r="22" spans="1:10" ht="13.8">
      <c r="A22" s="696" t="s">
        <v>650</v>
      </c>
      <c r="B22" s="696" t="s">
        <v>651</v>
      </c>
      <c r="C22" s="693" t="s">
        <v>652</v>
      </c>
      <c r="D22" s="695"/>
      <c r="E22" s="697">
        <v>4006377.64</v>
      </c>
      <c r="F22" s="697" t="s">
        <v>593</v>
      </c>
      <c r="G22" s="697" t="s">
        <v>593</v>
      </c>
      <c r="H22" s="697">
        <v>4006377.64</v>
      </c>
      <c r="I22" s="704">
        <f t="shared" si="0"/>
        <v>4006377.64</v>
      </c>
    </row>
    <row r="23" spans="1:10" ht="13.8">
      <c r="A23" s="699"/>
      <c r="B23" s="699"/>
      <c r="C23" s="693" t="s">
        <v>653</v>
      </c>
      <c r="D23" s="695"/>
      <c r="E23" s="697" t="s">
        <v>593</v>
      </c>
      <c r="F23" s="697" t="s">
        <v>593</v>
      </c>
      <c r="G23" s="697">
        <v>162500</v>
      </c>
      <c r="H23" s="697">
        <v>162500</v>
      </c>
      <c r="I23" s="704">
        <f t="shared" si="0"/>
        <v>162500</v>
      </c>
    </row>
    <row r="24" spans="1:10" ht="13.8">
      <c r="A24" s="693" t="s">
        <v>591</v>
      </c>
      <c r="B24" s="693" t="s">
        <v>654</v>
      </c>
      <c r="C24" s="693" t="s">
        <v>592</v>
      </c>
      <c r="D24" s="695"/>
      <c r="E24" s="697">
        <v>60244.08</v>
      </c>
      <c r="F24" s="697" t="s">
        <v>593</v>
      </c>
      <c r="G24" s="697" t="s">
        <v>593</v>
      </c>
      <c r="H24" s="697">
        <v>60244.08</v>
      </c>
      <c r="J24" s="704">
        <f>H24</f>
        <v>60244.08</v>
      </c>
    </row>
    <row r="25" spans="1:10" ht="13.8">
      <c r="A25" s="693" t="s">
        <v>655</v>
      </c>
      <c r="B25" s="693" t="s">
        <v>656</v>
      </c>
      <c r="C25" s="693" t="s">
        <v>657</v>
      </c>
      <c r="D25" s="695"/>
      <c r="E25" s="697">
        <v>529103.25</v>
      </c>
      <c r="F25" s="697" t="s">
        <v>593</v>
      </c>
      <c r="G25" s="697" t="s">
        <v>593</v>
      </c>
      <c r="H25" s="697">
        <v>529103.25</v>
      </c>
      <c r="I25" s="714"/>
      <c r="J25" s="704">
        <f>H25</f>
        <v>529103.25</v>
      </c>
    </row>
    <row r="26" spans="1:10" ht="13.8">
      <c r="A26" s="693" t="s">
        <v>594</v>
      </c>
      <c r="B26" s="693" t="s">
        <v>654</v>
      </c>
      <c r="C26" s="693" t="s">
        <v>595</v>
      </c>
      <c r="D26" s="695"/>
      <c r="E26" s="697">
        <v>11553981.52</v>
      </c>
      <c r="F26" s="697" t="s">
        <v>593</v>
      </c>
      <c r="G26" s="697" t="s">
        <v>593</v>
      </c>
      <c r="H26" s="697">
        <v>11553981.52</v>
      </c>
      <c r="J26" s="704">
        <f>H26</f>
        <v>11553981.52</v>
      </c>
    </row>
    <row r="27" spans="1:10" ht="13.8">
      <c r="A27" s="693" t="s">
        <v>596</v>
      </c>
      <c r="B27" s="693" t="s">
        <v>654</v>
      </c>
      <c r="C27" s="693" t="s">
        <v>597</v>
      </c>
      <c r="D27" s="695"/>
      <c r="E27" s="697">
        <v>3192000</v>
      </c>
      <c r="F27" s="697" t="s">
        <v>593</v>
      </c>
      <c r="G27" s="697" t="s">
        <v>593</v>
      </c>
      <c r="H27" s="697">
        <v>3192000</v>
      </c>
      <c r="J27" s="704">
        <f t="shared" ref="J27:J29" si="1">H27</f>
        <v>3192000</v>
      </c>
    </row>
    <row r="28" spans="1:10" ht="13.8">
      <c r="A28" s="693" t="s">
        <v>598</v>
      </c>
      <c r="B28" s="693" t="s">
        <v>654</v>
      </c>
      <c r="C28" s="693" t="s">
        <v>599</v>
      </c>
      <c r="D28" s="695"/>
      <c r="E28" s="697" t="s">
        <v>593</v>
      </c>
      <c r="F28" s="697">
        <v>44019.49</v>
      </c>
      <c r="G28" s="697">
        <v>97939.56</v>
      </c>
      <c r="H28" s="697">
        <v>141959.05000000002</v>
      </c>
      <c r="J28" s="704">
        <f t="shared" si="1"/>
        <v>141959.05000000002</v>
      </c>
    </row>
    <row r="29" spans="1:10" ht="13.8">
      <c r="A29" s="693" t="s">
        <v>600</v>
      </c>
      <c r="B29" s="693" t="s">
        <v>654</v>
      </c>
      <c r="C29" s="693" t="s">
        <v>601</v>
      </c>
      <c r="D29" s="695"/>
      <c r="E29" s="697">
        <v>928944</v>
      </c>
      <c r="F29" s="697" t="s">
        <v>593</v>
      </c>
      <c r="G29" s="697" t="s">
        <v>593</v>
      </c>
      <c r="H29" s="697">
        <v>928944</v>
      </c>
      <c r="J29" s="704">
        <f t="shared" si="1"/>
        <v>928944</v>
      </c>
    </row>
    <row r="30" spans="1:10" ht="13.8">
      <c r="A30" s="693" t="s">
        <v>658</v>
      </c>
      <c r="B30" s="693" t="s">
        <v>643</v>
      </c>
      <c r="C30" s="693" t="s">
        <v>659</v>
      </c>
      <c r="D30" s="695"/>
      <c r="E30" s="697">
        <v>-44500</v>
      </c>
      <c r="F30" s="697" t="s">
        <v>593</v>
      </c>
      <c r="G30" s="697" t="s">
        <v>593</v>
      </c>
      <c r="H30" s="697">
        <v>-44500</v>
      </c>
      <c r="I30" s="704">
        <f t="shared" ref="I30:I32" si="2">H30</f>
        <v>-44500</v>
      </c>
    </row>
    <row r="31" spans="1:10" ht="13.8">
      <c r="A31" s="693" t="s">
        <v>660</v>
      </c>
      <c r="B31" s="693" t="s">
        <v>643</v>
      </c>
      <c r="C31" s="693" t="s">
        <v>659</v>
      </c>
      <c r="D31" s="695"/>
      <c r="E31" s="697">
        <v>44500</v>
      </c>
      <c r="F31" s="697" t="s">
        <v>593</v>
      </c>
      <c r="G31" s="697" t="s">
        <v>593</v>
      </c>
      <c r="H31" s="697">
        <v>44500</v>
      </c>
      <c r="I31" s="704">
        <f t="shared" si="2"/>
        <v>44500</v>
      </c>
    </row>
    <row r="32" spans="1:10" ht="13.8">
      <c r="A32" s="693" t="s">
        <v>661</v>
      </c>
      <c r="B32" s="693" t="s">
        <v>643</v>
      </c>
      <c r="C32" s="693" t="s">
        <v>662</v>
      </c>
      <c r="D32" s="695"/>
      <c r="E32" s="697">
        <v>67420725.560000002</v>
      </c>
      <c r="F32" s="697" t="s">
        <v>593</v>
      </c>
      <c r="G32" s="697" t="s">
        <v>593</v>
      </c>
      <c r="H32" s="697">
        <v>67420725.560000002</v>
      </c>
      <c r="I32" s="704">
        <f t="shared" si="2"/>
        <v>67420725.560000002</v>
      </c>
    </row>
    <row r="33" spans="1:10">
      <c r="A33" s="700" t="s">
        <v>602</v>
      </c>
      <c r="B33" s="701"/>
      <c r="C33" s="702"/>
      <c r="D33" s="695"/>
      <c r="E33" s="697">
        <v>109041225.95</v>
      </c>
      <c r="F33" s="697">
        <v>44702.51</v>
      </c>
      <c r="G33" s="697">
        <v>299139.12</v>
      </c>
      <c r="H33" s="697">
        <v>109385067.58</v>
      </c>
    </row>
    <row r="34" spans="1:10">
      <c r="I34" s="704">
        <f>SUM(I17:I32)</f>
        <v>91291127.450000003</v>
      </c>
      <c r="J34" s="761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09375" defaultRowHeight="13.2"/>
  <cols>
    <col min="1" max="3" width="9.109375" style="672"/>
    <col min="4" max="4" width="10.33203125" style="672" bestFit="1" customWidth="1"/>
    <col min="5" max="6" width="9.109375" style="672"/>
    <col min="7" max="7" width="12.33203125" style="672" customWidth="1"/>
    <col min="8" max="8" width="7.88671875" style="672" customWidth="1"/>
    <col min="9" max="12" width="9.109375" style="672"/>
    <col min="13" max="13" width="11" style="672" customWidth="1"/>
    <col min="14" max="16384" width="9.109375" style="672"/>
  </cols>
  <sheetData>
    <row r="1" spans="1:14" ht="15.6">
      <c r="A1" s="765" t="s">
        <v>689</v>
      </c>
    </row>
    <row r="2" spans="1:14">
      <c r="A2" s="742" t="s">
        <v>676</v>
      </c>
    </row>
    <row r="3" spans="1:14" ht="13.8" thickBot="1">
      <c r="D3" s="746" t="s">
        <v>677</v>
      </c>
      <c r="E3" s="746"/>
      <c r="F3" s="746" t="s">
        <v>678</v>
      </c>
      <c r="G3" s="746" t="s">
        <v>683</v>
      </c>
    </row>
    <row r="4" spans="1:14">
      <c r="A4" s="766" t="s">
        <v>574</v>
      </c>
      <c r="B4" s="767"/>
      <c r="C4" s="767"/>
      <c r="D4" s="768">
        <f>'12.2014 CB Power Supply'!F46</f>
        <v>3729.8843999999999</v>
      </c>
      <c r="E4" s="768"/>
      <c r="F4" s="768">
        <f>'PF Power Supply 09.2014 load'!F45</f>
        <v>6040.6785</v>
      </c>
      <c r="G4" s="768">
        <f>F4-D4</f>
        <v>2310.7941000000001</v>
      </c>
      <c r="H4" s="769" t="s">
        <v>679</v>
      </c>
      <c r="I4" s="770"/>
      <c r="J4" s="770"/>
      <c r="K4" s="770"/>
      <c r="L4" s="770"/>
      <c r="M4" s="770"/>
      <c r="N4" s="770"/>
    </row>
    <row r="5" spans="1:14" ht="13.8" thickBot="1">
      <c r="A5" s="771" t="s">
        <v>575</v>
      </c>
      <c r="B5" s="772"/>
      <c r="C5" s="772"/>
      <c r="D5" s="773">
        <f>'12.2014 CB Power Supply'!F47</f>
        <v>8398.7109</v>
      </c>
      <c r="E5" s="773"/>
      <c r="F5" s="773">
        <f>'PF Power Supply 09.2014 load'!F46</f>
        <v>9709.7355000000007</v>
      </c>
      <c r="G5" s="773">
        <f>F5-D5</f>
        <v>1311.0246000000006</v>
      </c>
      <c r="H5" s="774" t="s">
        <v>679</v>
      </c>
      <c r="I5" s="770"/>
      <c r="J5" s="770"/>
      <c r="K5" s="770"/>
      <c r="L5" s="770"/>
      <c r="M5" s="770"/>
      <c r="N5" s="770"/>
    </row>
    <row r="6" spans="1:14">
      <c r="A6" s="727"/>
      <c r="B6" s="727"/>
      <c r="C6" s="727"/>
      <c r="D6" s="60">
        <f>SUM(D4:D5)</f>
        <v>12128.595300000001</v>
      </c>
      <c r="E6" s="727"/>
      <c r="F6" s="60">
        <f>SUM(F4:F5)</f>
        <v>15750.414000000001</v>
      </c>
      <c r="G6" s="745">
        <f>F6-D6</f>
        <v>3621.8186999999998</v>
      </c>
    </row>
    <row r="7" spans="1:14">
      <c r="H7" s="744"/>
    </row>
    <row r="8" spans="1:14">
      <c r="C8" s="743" t="s">
        <v>680</v>
      </c>
      <c r="D8" s="747" t="e">
        <f>100%+'Cost Trends'!#REF!</f>
        <v>#REF!</v>
      </c>
      <c r="H8" s="744"/>
    </row>
    <row r="9" spans="1:14">
      <c r="H9" s="775" t="s">
        <v>682</v>
      </c>
      <c r="I9" s="776"/>
      <c r="J9" s="776"/>
      <c r="K9" s="776"/>
      <c r="L9" s="776"/>
      <c r="M9" s="776"/>
    </row>
    <row r="10" spans="1:14">
      <c r="C10" s="743" t="s">
        <v>681</v>
      </c>
      <c r="D10" s="748" t="e">
        <f>D6*D8</f>
        <v>#REF!</v>
      </c>
      <c r="F10" s="749">
        <f>F6</f>
        <v>15750.414000000001</v>
      </c>
      <c r="H10" s="777" t="e">
        <f>F10-D10</f>
        <v>#REF!</v>
      </c>
      <c r="I10" s="776"/>
      <c r="J10" s="778"/>
      <c r="K10" s="776"/>
      <c r="L10" s="776"/>
      <c r="M10" s="776"/>
    </row>
    <row r="11" spans="1:14">
      <c r="H11" s="744"/>
    </row>
    <row r="12" spans="1:14">
      <c r="H12" s="744"/>
    </row>
    <row r="13" spans="1:14">
      <c r="H13" s="744"/>
    </row>
    <row r="14" spans="1:14">
      <c r="H14" s="744"/>
    </row>
  </sheetData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opLeftCell="A13" zoomScaleNormal="100" zoomScaleSheetLayoutView="115" workbookViewId="0">
      <selection activeCell="I35" sqref="I35"/>
    </sheetView>
  </sheetViews>
  <sheetFormatPr defaultRowHeight="13.2"/>
  <cols>
    <col min="1" max="1" width="7" customWidth="1"/>
    <col min="2" max="2" width="2.109375" customWidth="1"/>
    <col min="3" max="3" width="38.109375" customWidth="1"/>
    <col min="4" max="4" width="2.109375" customWidth="1"/>
    <col min="5" max="5" width="0.109375" hidden="1" customWidth="1"/>
    <col min="6" max="6" width="10.5546875" customWidth="1"/>
    <col min="7" max="7" width="13" customWidth="1"/>
    <col min="8" max="8" width="15.5546875" customWidth="1"/>
    <col min="9" max="9" width="23.44140625" style="518" bestFit="1" customWidth="1"/>
    <col min="10" max="10" width="10.33203125" style="518" bestFit="1" customWidth="1"/>
    <col min="11" max="11" width="9.33203125" bestFit="1" customWidth="1"/>
  </cols>
  <sheetData>
    <row r="1" spans="1:10" s="522" customFormat="1" ht="13.8">
      <c r="A1" s="888"/>
      <c r="B1" s="888"/>
      <c r="C1" s="888"/>
      <c r="D1" s="888"/>
      <c r="E1" s="888"/>
      <c r="F1" s="888"/>
      <c r="G1" s="888"/>
      <c r="H1" s="888"/>
      <c r="I1" s="833"/>
      <c r="J1" s="840"/>
    </row>
    <row r="2" spans="1:10" s="522" customFormat="1" ht="13.8">
      <c r="A2" s="889" t="s">
        <v>749</v>
      </c>
      <c r="B2" s="889"/>
      <c r="C2" s="889"/>
      <c r="D2" s="889"/>
      <c r="E2" s="889"/>
      <c r="F2" s="889"/>
      <c r="G2" s="889"/>
      <c r="H2" s="889"/>
      <c r="I2" s="834"/>
      <c r="J2" s="840"/>
    </row>
    <row r="3" spans="1:10" s="522" customFormat="1" ht="13.8">
      <c r="A3" s="889" t="s">
        <v>750</v>
      </c>
      <c r="B3" s="889"/>
      <c r="C3" s="889"/>
      <c r="D3" s="889"/>
      <c r="E3" s="889"/>
      <c r="F3" s="889"/>
      <c r="G3" s="889"/>
      <c r="H3" s="889"/>
      <c r="I3" s="834"/>
      <c r="J3" s="840"/>
    </row>
    <row r="4" spans="1:10" s="522" customFormat="1" ht="13.8">
      <c r="A4" s="888" t="s">
        <v>748</v>
      </c>
      <c r="B4" s="888"/>
      <c r="C4" s="888"/>
      <c r="D4" s="888"/>
      <c r="E4" s="888"/>
      <c r="F4" s="888"/>
      <c r="G4" s="888"/>
      <c r="H4" s="888"/>
      <c r="I4" s="834"/>
      <c r="J4" s="840"/>
    </row>
    <row r="5" spans="1:10" s="522" customFormat="1" ht="13.8">
      <c r="A5" s="888" t="s">
        <v>473</v>
      </c>
      <c r="B5" s="888"/>
      <c r="C5" s="888"/>
      <c r="D5" s="888"/>
      <c r="E5" s="888"/>
      <c r="F5" s="888"/>
      <c r="G5" s="888"/>
      <c r="H5" s="888"/>
      <c r="I5" s="834"/>
      <c r="J5" s="840"/>
    </row>
    <row r="6" spans="1:10" s="522" customFormat="1" ht="13.8">
      <c r="A6" s="888"/>
      <c r="B6" s="888"/>
      <c r="C6" s="888"/>
      <c r="D6" s="888"/>
      <c r="E6" s="888"/>
      <c r="F6" s="888"/>
      <c r="G6" s="888"/>
      <c r="H6" s="888"/>
      <c r="I6" s="834"/>
      <c r="J6" s="840"/>
    </row>
    <row r="7" spans="1:10" s="522" customFormat="1" ht="13.8">
      <c r="A7" s="889" t="s">
        <v>603</v>
      </c>
      <c r="B7" s="889"/>
      <c r="C7" s="889"/>
      <c r="D7" s="889"/>
      <c r="E7" s="889"/>
      <c r="F7" s="889"/>
      <c r="G7" s="889"/>
      <c r="H7" s="889"/>
      <c r="I7" s="834"/>
      <c r="J7" s="840"/>
    </row>
    <row r="8" spans="1:10" s="522" customFormat="1" ht="13.8">
      <c r="A8" s="888" t="s">
        <v>475</v>
      </c>
      <c r="B8" s="888"/>
      <c r="C8" s="888"/>
      <c r="D8" s="888"/>
      <c r="E8" s="888"/>
      <c r="F8" s="888"/>
      <c r="G8" s="888"/>
      <c r="H8" s="888"/>
      <c r="I8" s="834"/>
      <c r="J8" s="840"/>
    </row>
    <row r="9" spans="1:10">
      <c r="A9" s="519"/>
      <c r="B9" s="519"/>
      <c r="C9" s="519"/>
      <c r="D9" s="519"/>
      <c r="E9" s="519"/>
      <c r="F9" s="519"/>
      <c r="G9" s="519"/>
      <c r="H9" s="519"/>
    </row>
    <row r="10" spans="1:10">
      <c r="A10" s="502"/>
      <c r="B10" s="502"/>
      <c r="C10" s="502"/>
      <c r="D10" s="502"/>
      <c r="E10" s="502"/>
      <c r="F10" s="519" t="s">
        <v>476</v>
      </c>
      <c r="G10" s="519" t="s">
        <v>477</v>
      </c>
      <c r="H10" s="519" t="s">
        <v>478</v>
      </c>
      <c r="I10" s="835"/>
    </row>
    <row r="11" spans="1:10" ht="13.2" customHeight="1">
      <c r="A11" s="893" t="s">
        <v>484</v>
      </c>
      <c r="B11" s="899"/>
      <c r="C11" s="898" t="s">
        <v>409</v>
      </c>
      <c r="D11" s="890"/>
      <c r="E11" s="459"/>
      <c r="F11" s="893" t="s">
        <v>721</v>
      </c>
      <c r="G11" s="893" t="s">
        <v>116</v>
      </c>
      <c r="H11" s="893" t="s">
        <v>727</v>
      </c>
      <c r="I11" s="895"/>
    </row>
    <row r="12" spans="1:10" ht="17.399999999999999" customHeight="1">
      <c r="A12" s="897"/>
      <c r="B12" s="891"/>
      <c r="C12" s="897"/>
      <c r="D12" s="891"/>
      <c r="E12" s="462"/>
      <c r="F12" s="897"/>
      <c r="G12" s="897"/>
      <c r="H12" s="894"/>
      <c r="I12" s="896"/>
    </row>
    <row r="13" spans="1:10">
      <c r="A13" s="457"/>
      <c r="B13" s="457"/>
      <c r="C13" s="457"/>
      <c r="D13" s="457"/>
      <c r="E13" s="457"/>
      <c r="F13" s="457"/>
      <c r="G13" s="457"/>
      <c r="H13" s="457"/>
      <c r="I13" s="836"/>
    </row>
    <row r="14" spans="1:10">
      <c r="A14" s="464">
        <v>1</v>
      </c>
      <c r="B14" s="457"/>
      <c r="C14" s="457" t="s">
        <v>729</v>
      </c>
      <c r="D14" s="457"/>
      <c r="E14" s="457"/>
      <c r="F14" s="503">
        <f>'Attrition 09.2014 to 2016'!T79</f>
        <v>1316104.9166977571</v>
      </c>
      <c r="G14" s="513">
        <v>1.013115</v>
      </c>
      <c r="H14" s="505">
        <f>F14/G14</f>
        <v>1299067.64453962</v>
      </c>
      <c r="I14" s="836"/>
    </row>
    <row r="15" spans="1:10">
      <c r="A15" s="464"/>
      <c r="B15" s="457"/>
      <c r="C15" s="457"/>
      <c r="D15" s="457"/>
      <c r="E15" s="457"/>
      <c r="F15" s="503"/>
      <c r="G15" s="503"/>
      <c r="H15" s="503"/>
      <c r="I15" s="836"/>
    </row>
    <row r="16" spans="1:10">
      <c r="A16" s="464">
        <v>2</v>
      </c>
      <c r="B16" s="457"/>
      <c r="C16" s="457" t="s">
        <v>714</v>
      </c>
      <c r="D16" s="457"/>
      <c r="E16" s="457"/>
      <c r="F16" s="510"/>
      <c r="G16" s="504"/>
      <c r="H16" s="845">
        <f>ROR!F15</f>
        <v>7.2900000000000006E-2</v>
      </c>
      <c r="I16" s="836"/>
    </row>
    <row r="17" spans="1:20">
      <c r="A17" s="464"/>
      <c r="B17" s="457"/>
      <c r="C17" s="457"/>
      <c r="D17" s="457"/>
      <c r="E17" s="457"/>
      <c r="F17" s="504"/>
      <c r="G17" s="504"/>
      <c r="H17" s="504"/>
      <c r="I17" s="836"/>
    </row>
    <row r="18" spans="1:20">
      <c r="A18" s="464">
        <v>3</v>
      </c>
      <c r="B18" s="457"/>
      <c r="C18" s="515" t="s">
        <v>474</v>
      </c>
      <c r="D18" s="515"/>
      <c r="E18" s="515"/>
      <c r="F18" s="805"/>
      <c r="G18" s="507"/>
      <c r="H18" s="805">
        <f>ROUND(H14*H16,0)</f>
        <v>94702</v>
      </c>
      <c r="I18" s="807"/>
    </row>
    <row r="19" spans="1:20">
      <c r="A19" s="464"/>
      <c r="B19" s="457"/>
      <c r="C19" s="457"/>
      <c r="D19" s="457"/>
      <c r="E19" s="457"/>
      <c r="F19" s="503"/>
      <c r="G19" s="503"/>
      <c r="H19" s="503"/>
      <c r="I19" s="807"/>
    </row>
    <row r="20" spans="1:20">
      <c r="A20" s="464">
        <v>4</v>
      </c>
      <c r="B20" s="457"/>
      <c r="C20" s="457" t="s">
        <v>724</v>
      </c>
      <c r="D20" s="457"/>
      <c r="E20" s="457"/>
      <c r="F20" s="506">
        <f>'Attrition 09.2014 to 2016'!T54</f>
        <v>105531.56405796486</v>
      </c>
      <c r="G20" s="514">
        <f>G14</f>
        <v>1.013115</v>
      </c>
      <c r="H20" s="506">
        <f>F20/G20</f>
        <v>104165.43438599257</v>
      </c>
      <c r="I20" s="807"/>
    </row>
    <row r="21" spans="1:20" s="617" customFormat="1">
      <c r="A21" s="464"/>
      <c r="B21" s="457"/>
      <c r="C21" s="457"/>
      <c r="D21" s="457"/>
      <c r="E21" s="457"/>
      <c r="F21" s="507"/>
      <c r="G21" s="514"/>
      <c r="H21" s="507"/>
      <c r="I21" s="807"/>
      <c r="J21" s="518"/>
    </row>
    <row r="22" spans="1:20" s="617" customFormat="1">
      <c r="A22" s="464">
        <v>5</v>
      </c>
      <c r="B22" s="457"/>
      <c r="C22" s="515" t="s">
        <v>722</v>
      </c>
      <c r="D22" s="518"/>
      <c r="E22" s="518"/>
      <c r="F22" s="518"/>
      <c r="G22" s="518"/>
      <c r="H22" s="846">
        <f>H20/H14</f>
        <v>8.018476545377129E-2</v>
      </c>
      <c r="I22" s="807"/>
      <c r="J22" s="518"/>
    </row>
    <row r="23" spans="1:20">
      <c r="A23" s="464"/>
      <c r="B23" s="457"/>
      <c r="C23" s="457"/>
      <c r="D23" s="457"/>
      <c r="E23" s="457"/>
      <c r="F23" s="457"/>
      <c r="G23" s="457"/>
      <c r="H23" s="457"/>
      <c r="I23" s="807"/>
    </row>
    <row r="24" spans="1:20">
      <c r="A24" s="464">
        <v>6</v>
      </c>
      <c r="B24" s="457"/>
      <c r="C24" s="457" t="s">
        <v>723</v>
      </c>
      <c r="D24" s="457"/>
      <c r="E24" s="457"/>
      <c r="F24" s="503"/>
      <c r="G24" s="503"/>
      <c r="H24" s="503">
        <f>H18-H20</f>
        <v>-9463.4343859925721</v>
      </c>
      <c r="I24" s="837"/>
    </row>
    <row r="25" spans="1:20">
      <c r="A25" s="464"/>
      <c r="B25" s="457"/>
      <c r="C25" s="457"/>
      <c r="D25" s="457"/>
      <c r="E25" s="457"/>
      <c r="F25" s="457"/>
      <c r="G25" s="457"/>
      <c r="H25" s="457"/>
      <c r="I25" s="807"/>
      <c r="T25" s="236"/>
    </row>
    <row r="26" spans="1:20">
      <c r="A26" s="464">
        <v>7</v>
      </c>
      <c r="B26" s="457"/>
      <c r="C26" s="457" t="s">
        <v>715</v>
      </c>
      <c r="D26" s="515"/>
      <c r="E26" s="457"/>
      <c r="F26" s="508"/>
      <c r="G26" s="457"/>
      <c r="H26" s="508">
        <f>ROR!L24</f>
        <v>0.62017999999999995</v>
      </c>
      <c r="I26" s="807"/>
    </row>
    <row r="27" spans="1:20" ht="13.8" thickBot="1">
      <c r="A27" s="464"/>
      <c r="B27" s="457"/>
      <c r="C27" s="457"/>
      <c r="D27" s="515"/>
      <c r="E27" s="457"/>
      <c r="F27" s="515"/>
      <c r="G27" s="457"/>
      <c r="H27" s="457"/>
      <c r="I27" s="838"/>
      <c r="K27" s="637"/>
      <c r="L27" s="638"/>
      <c r="M27" s="518"/>
    </row>
    <row r="28" spans="1:20" ht="13.8" thickBot="1">
      <c r="A28" s="464">
        <v>8</v>
      </c>
      <c r="B28" s="457"/>
      <c r="C28" s="515" t="s">
        <v>745</v>
      </c>
      <c r="D28" s="515"/>
      <c r="E28" s="795"/>
      <c r="F28" s="516"/>
      <c r="G28" s="507"/>
      <c r="H28" s="847">
        <f>ROUND(H24/H26,0)</f>
        <v>-15259</v>
      </c>
      <c r="I28" s="868" t="s">
        <v>755</v>
      </c>
      <c r="L28" s="639"/>
      <c r="M28" s="518"/>
    </row>
    <row r="29" spans="1:20">
      <c r="A29" s="464"/>
      <c r="B29" s="457"/>
      <c r="C29" s="515"/>
      <c r="D29" s="515"/>
      <c r="E29" s="457"/>
      <c r="F29" s="516"/>
      <c r="G29" s="507"/>
      <c r="H29" s="516"/>
      <c r="I29" s="839"/>
      <c r="K29" s="518"/>
      <c r="L29" s="518"/>
      <c r="M29" s="518"/>
    </row>
    <row r="30" spans="1:20">
      <c r="A30" s="464">
        <v>9</v>
      </c>
      <c r="B30" s="509"/>
      <c r="C30" s="515" t="s">
        <v>728</v>
      </c>
      <c r="D30" s="515"/>
      <c r="E30" s="457"/>
      <c r="F30" s="507"/>
      <c r="G30" s="507"/>
      <c r="H30" s="507">
        <f>'Attrition 09.2014 to 2016'!N7+'Attrition 09.2014 to 2016'!N8</f>
        <v>499982</v>
      </c>
      <c r="I30" s="843"/>
      <c r="K30" s="518"/>
      <c r="L30" s="518"/>
      <c r="M30" s="518"/>
    </row>
    <row r="31" spans="1:20">
      <c r="A31" s="511"/>
      <c r="B31" s="509"/>
      <c r="C31" s="515"/>
      <c r="D31" s="515"/>
      <c r="E31" s="457"/>
      <c r="F31" s="515"/>
      <c r="G31" s="515"/>
      <c r="H31" s="457"/>
      <c r="I31" s="807"/>
      <c r="K31" s="518"/>
      <c r="L31" s="518"/>
      <c r="M31" s="518"/>
    </row>
    <row r="32" spans="1:20" s="617" customFormat="1">
      <c r="A32" s="464">
        <v>10</v>
      </c>
      <c r="C32" s="515" t="s">
        <v>725</v>
      </c>
      <c r="D32" s="518"/>
      <c r="E32" s="787"/>
      <c r="F32" s="518"/>
      <c r="G32" s="518"/>
      <c r="H32" s="844">
        <f>H30+H28</f>
        <v>484723</v>
      </c>
      <c r="I32" s="837"/>
      <c r="J32" s="518"/>
    </row>
    <row r="33" spans="1:13" ht="13.8" thickBot="1">
      <c r="A33" s="617"/>
      <c r="B33" s="511"/>
      <c r="C33" s="512"/>
      <c r="D33" s="512"/>
      <c r="E33" s="511"/>
      <c r="F33" s="512"/>
      <c r="G33" s="512"/>
      <c r="H33" s="511"/>
      <c r="I33" s="807"/>
      <c r="K33" s="518"/>
      <c r="L33" s="518"/>
      <c r="M33" s="518"/>
    </row>
    <row r="34" spans="1:13" s="617" customFormat="1" ht="13.8" thickBot="1">
      <c r="A34" s="464">
        <v>11</v>
      </c>
      <c r="C34" s="515" t="s">
        <v>726</v>
      </c>
      <c r="D34" s="515"/>
      <c r="E34" s="457"/>
      <c r="F34" s="517"/>
      <c r="G34" s="510"/>
      <c r="H34" s="848">
        <f>H28/H30</f>
        <v>-3.0519098687552752E-2</v>
      </c>
      <c r="I34" s="837"/>
      <c r="J34" s="518"/>
      <c r="K34" s="518"/>
      <c r="L34" s="518"/>
      <c r="M34" s="518"/>
    </row>
    <row r="35" spans="1:13">
      <c r="A35" s="464"/>
      <c r="C35" s="518"/>
      <c r="D35" s="518"/>
      <c r="F35" s="518"/>
      <c r="I35" s="837"/>
    </row>
    <row r="36" spans="1:13" s="802" customFormat="1">
      <c r="A36" s="806"/>
      <c r="C36" s="804"/>
      <c r="H36" s="805"/>
      <c r="I36" s="807"/>
    </row>
    <row r="37" spans="1:13" s="802" customFormat="1">
      <c r="A37" s="806"/>
      <c r="C37" s="804"/>
      <c r="H37" s="805"/>
      <c r="I37" s="807"/>
    </row>
    <row r="38" spans="1:13" s="802" customFormat="1">
      <c r="A38" s="806"/>
      <c r="C38" s="808"/>
      <c r="H38" s="809"/>
      <c r="I38" s="807"/>
    </row>
    <row r="39" spans="1:13" s="802" customFormat="1" ht="6" customHeight="1">
      <c r="B39" s="810"/>
      <c r="C39" s="892"/>
      <c r="D39" s="892"/>
      <c r="E39" s="892"/>
      <c r="F39" s="892"/>
      <c r="G39" s="892"/>
      <c r="H39" s="892"/>
      <c r="I39" s="892"/>
    </row>
    <row r="48" spans="1:13">
      <c r="A48" s="455"/>
      <c r="B48" s="455"/>
      <c r="C48" s="455"/>
      <c r="D48" s="455"/>
      <c r="E48" s="455"/>
      <c r="F48" s="455"/>
      <c r="G48" s="455"/>
      <c r="H48" s="455"/>
    </row>
    <row r="53" spans="20:20">
      <c r="T53" s="617" t="s">
        <v>692</v>
      </c>
    </row>
    <row r="99" spans="20:20">
      <c r="T99" s="783" t="s">
        <v>693</v>
      </c>
    </row>
    <row r="109" spans="20:20">
      <c r="T109" s="783" t="s">
        <v>693</v>
      </c>
    </row>
    <row r="155" spans="20:20">
      <c r="T155" s="783" t="s">
        <v>693</v>
      </c>
    </row>
    <row r="169" spans="20:20">
      <c r="T169" s="783" t="s">
        <v>693</v>
      </c>
    </row>
    <row r="189" spans="13:20">
      <c r="M189" s="783"/>
      <c r="N189" s="783"/>
      <c r="O189" s="783"/>
      <c r="P189" s="783"/>
      <c r="Q189" s="783"/>
      <c r="R189" s="783"/>
      <c r="S189" s="783"/>
      <c r="T189" s="783" t="s">
        <v>693</v>
      </c>
    </row>
  </sheetData>
  <mergeCells count="17">
    <mergeCell ref="D11:D12"/>
    <mergeCell ref="A3:H3"/>
    <mergeCell ref="A8:H8"/>
    <mergeCell ref="C39:I39"/>
    <mergeCell ref="H11:H12"/>
    <mergeCell ref="I11:I12"/>
    <mergeCell ref="F11:F12"/>
    <mergeCell ref="G11:G12"/>
    <mergeCell ref="C11:C12"/>
    <mergeCell ref="A11:A12"/>
    <mergeCell ref="B11:B12"/>
    <mergeCell ref="A1:H1"/>
    <mergeCell ref="A2:H2"/>
    <mergeCell ref="A5:H5"/>
    <mergeCell ref="A6:H6"/>
    <mergeCell ref="A7:H7"/>
    <mergeCell ref="A4:H4"/>
  </mergeCells>
  <printOptions horizontalCentered="1"/>
  <pageMargins left="0.7" right="0.7" top="0.75" bottom="0.75" header="0.3" footer="0.3"/>
  <pageSetup orientation="landscape" r:id="rId1"/>
  <headerFooter scaleWithDoc="0">
    <oddHeader>&amp;RExhibit No. __(EMA-6)</oddHeader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zoomScaleNormal="100" workbookViewId="0">
      <selection activeCell="L38" sqref="L38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62"/>
      <c r="D5" s="763" t="s">
        <v>607</v>
      </c>
      <c r="E5" s="762"/>
      <c r="G5" s="72"/>
      <c r="H5" s="757" t="s">
        <v>666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56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59">
        <v>83074</v>
      </c>
      <c r="E11" s="59"/>
      <c r="F11" s="59">
        <f>F$9*D11</f>
        <v>53757.185400000002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46" customFormat="1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706" t="s">
        <v>664</v>
      </c>
    </row>
    <row r="15" spans="1:11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707" t="s">
        <v>665</v>
      </c>
    </row>
    <row r="16" spans="1:11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707" t="s">
        <v>663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99341</v>
      </c>
      <c r="E19" s="62"/>
      <c r="F19" s="60">
        <f>SUM(F11:F18)</f>
        <v>64285.849000000002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60">
        <v>29696</v>
      </c>
      <c r="E22" s="62"/>
      <c r="F22" s="60">
        <f t="shared" ref="F22:F30" si="0">F$9*D22</f>
        <v>19216.281600000002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60">
        <v>92175</v>
      </c>
      <c r="E24" s="62"/>
      <c r="F24" s="60">
        <f t="shared" si="0"/>
        <v>59646.442499999997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60">
        <v>116846</v>
      </c>
      <c r="E26" s="62"/>
      <c r="F26" s="60">
        <f t="shared" si="0"/>
        <v>75611.046600000001</v>
      </c>
      <c r="G26" s="62"/>
      <c r="H26" s="59"/>
    </row>
    <row r="27" spans="1:8">
      <c r="A27" s="15" t="s">
        <v>20</v>
      </c>
      <c r="D27" s="60">
        <v>0</v>
      </c>
      <c r="E27" s="62"/>
      <c r="F27" s="341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51" t="s">
        <v>688</v>
      </c>
      <c r="D31" s="60">
        <v>0</v>
      </c>
      <c r="E31" s="62"/>
      <c r="F31" s="758">
        <v>-1528</v>
      </c>
      <c r="G31" s="62"/>
      <c r="H31" s="760" t="s">
        <v>674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</row>
    <row r="34" spans="1:8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</row>
    <row r="35" spans="1:8">
      <c r="A35" s="15" t="s">
        <v>25</v>
      </c>
      <c r="D35" s="63">
        <f>SUM(D22:D34)</f>
        <v>257217</v>
      </c>
      <c r="E35" s="62"/>
      <c r="F35" s="63">
        <f>SUM(F22:F34)</f>
        <v>164917.12069999997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-157876</v>
      </c>
      <c r="E37" s="60"/>
      <c r="F37" s="60">
        <f>F19-F35</f>
        <v>-100631.27169999997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-35220.945094999988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-65410.32660499998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15" t="s">
        <v>574</v>
      </c>
      <c r="B45" s="715"/>
      <c r="C45" s="715"/>
      <c r="D45" s="676">
        <v>9335</v>
      </c>
      <c r="E45" s="728"/>
      <c r="F45" s="676">
        <f>F$9*D45</f>
        <v>6040.6785</v>
      </c>
      <c r="G45" s="62"/>
      <c r="H45" s="739" t="s">
        <v>673</v>
      </c>
    </row>
    <row r="46" spans="1:8">
      <c r="A46" s="715" t="s">
        <v>575</v>
      </c>
      <c r="B46" s="715"/>
      <c r="C46" s="715"/>
      <c r="D46" s="676">
        <v>15005</v>
      </c>
      <c r="E46" s="728"/>
      <c r="F46" s="676">
        <f>F$9*D46</f>
        <v>9709.7355000000007</v>
      </c>
      <c r="G46" s="62"/>
      <c r="H46" s="739" t="s">
        <v>673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zoomScaleNormal="100" workbookViewId="0">
      <selection activeCell="T1" sqref="T1"/>
    </sheetView>
  </sheetViews>
  <sheetFormatPr defaultColWidth="9.109375" defaultRowHeight="13.2"/>
  <cols>
    <col min="1" max="1" width="22.109375" style="571" customWidth="1"/>
    <col min="2" max="2" width="10.44140625" style="571" customWidth="1"/>
    <col min="3" max="3" width="10.33203125" style="571" customWidth="1"/>
    <col min="4" max="4" width="9.88671875" style="571" customWidth="1"/>
    <col min="5" max="5" width="8" style="571" customWidth="1"/>
    <col min="6" max="6" width="12.109375" style="571" customWidth="1"/>
    <col min="7" max="7" width="3.6640625" style="571" customWidth="1"/>
    <col min="8" max="8" width="57.5546875" style="571" customWidth="1"/>
    <col min="9" max="16384" width="9.109375" style="571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567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679" t="s">
        <v>667</v>
      </c>
      <c r="G5" s="72"/>
      <c r="H5" s="705" t="s">
        <v>668</v>
      </c>
    </row>
    <row r="6" spans="1:8">
      <c r="D6" s="339" t="s">
        <v>89</v>
      </c>
      <c r="E6" s="573"/>
      <c r="F6" s="573" t="s">
        <v>8</v>
      </c>
      <c r="G6" s="72"/>
    </row>
    <row r="7" spans="1:8">
      <c r="D7" s="339" t="s">
        <v>88</v>
      </c>
      <c r="E7" s="573"/>
      <c r="F7" s="573" t="s">
        <v>5</v>
      </c>
      <c r="G7" s="72"/>
    </row>
    <row r="8" spans="1:8">
      <c r="D8" s="708" t="s">
        <v>98</v>
      </c>
      <c r="E8" s="58"/>
      <c r="F8" s="58" t="s">
        <v>127</v>
      </c>
      <c r="G8" s="73"/>
    </row>
    <row r="9" spans="1:8">
      <c r="A9" s="571" t="s">
        <v>9</v>
      </c>
      <c r="D9" s="18"/>
      <c r="E9" s="1"/>
      <c r="F9" s="756">
        <v>0.64710000000000001</v>
      </c>
      <c r="G9" s="74"/>
    </row>
    <row r="10" spans="1:8">
      <c r="D10" s="18"/>
      <c r="G10" s="72"/>
    </row>
    <row r="11" spans="1:8">
      <c r="A11" s="571" t="s">
        <v>10</v>
      </c>
      <c r="D11" s="764">
        <f>66586+12478</f>
        <v>79064</v>
      </c>
      <c r="E11" s="59"/>
      <c r="F11" s="59">
        <f>F$9*D11</f>
        <v>51162.314400000003</v>
      </c>
      <c r="G11" s="65"/>
      <c r="H11" s="59"/>
    </row>
    <row r="12" spans="1:8">
      <c r="A12" s="571" t="s">
        <v>11</v>
      </c>
      <c r="D12" s="341">
        <v>466</v>
      </c>
      <c r="E12" s="60"/>
      <c r="F12" s="60">
        <f>F$9*D12</f>
        <v>301.54860000000002</v>
      </c>
      <c r="G12" s="62"/>
      <c r="H12" s="59"/>
    </row>
    <row r="13" spans="1:8">
      <c r="A13" s="571" t="s">
        <v>12</v>
      </c>
      <c r="D13" s="341">
        <v>0</v>
      </c>
      <c r="E13" s="60"/>
      <c r="F13" s="60">
        <f>F$9*D13</f>
        <v>0</v>
      </c>
      <c r="G13" s="62"/>
      <c r="H13" s="59"/>
    </row>
    <row r="14" spans="1:8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59"/>
    </row>
    <row r="15" spans="1:8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59"/>
    </row>
    <row r="16" spans="1:8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59"/>
    </row>
    <row r="17" spans="1:8">
      <c r="A17" s="571" t="s">
        <v>13</v>
      </c>
      <c r="D17" s="341">
        <v>0</v>
      </c>
      <c r="E17" s="60"/>
      <c r="F17" s="60">
        <f>F$9*D17</f>
        <v>0</v>
      </c>
      <c r="G17" s="62"/>
      <c r="H17" s="59"/>
    </row>
    <row r="18" spans="1:8">
      <c r="A18" s="571" t="s">
        <v>128</v>
      </c>
      <c r="D18" s="342">
        <v>0</v>
      </c>
      <c r="E18" s="62"/>
      <c r="F18" s="61">
        <f>D18</f>
        <v>0</v>
      </c>
      <c r="G18" s="62"/>
      <c r="H18" s="59"/>
    </row>
    <row r="19" spans="1:8">
      <c r="A19" s="571" t="s">
        <v>14</v>
      </c>
      <c r="D19" s="341">
        <f>SUM(D11:D18)</f>
        <v>95331</v>
      </c>
      <c r="E19" s="62"/>
      <c r="F19" s="60">
        <f>SUM(F11:F18)</f>
        <v>61690.978000000003</v>
      </c>
      <c r="G19" s="62"/>
      <c r="H19" s="59"/>
    </row>
    <row r="20" spans="1:8">
      <c r="D20" s="341"/>
      <c r="E20" s="62"/>
      <c r="F20" s="60"/>
      <c r="G20" s="62"/>
      <c r="H20" s="59"/>
    </row>
    <row r="21" spans="1:8">
      <c r="D21" s="341"/>
      <c r="E21" s="62"/>
      <c r="F21" s="60"/>
      <c r="G21" s="62"/>
      <c r="H21" s="59"/>
    </row>
    <row r="22" spans="1:8">
      <c r="A22" s="571" t="s">
        <v>15</v>
      </c>
      <c r="D22" s="341">
        <v>29696</v>
      </c>
      <c r="E22" s="62"/>
      <c r="F22" s="60">
        <f>F$9*D22+1</f>
        <v>19217.281600000002</v>
      </c>
      <c r="G22" s="62"/>
      <c r="H22" s="59"/>
    </row>
    <row r="23" spans="1:8">
      <c r="A23" s="571" t="s">
        <v>16</v>
      </c>
      <c r="D23" s="341">
        <v>0</v>
      </c>
      <c r="E23" s="62"/>
      <c r="F23" s="60">
        <f t="shared" ref="F23:F30" si="0">F$9*D23</f>
        <v>0</v>
      </c>
      <c r="G23" s="62"/>
      <c r="H23" s="59"/>
    </row>
    <row r="24" spans="1:8">
      <c r="A24" s="571" t="s">
        <v>17</v>
      </c>
      <c r="D24" s="341">
        <v>92175</v>
      </c>
      <c r="E24" s="62"/>
      <c r="F24" s="60">
        <f t="shared" si="0"/>
        <v>59646.442499999997</v>
      </c>
      <c r="G24" s="62"/>
      <c r="H24" s="59"/>
    </row>
    <row r="25" spans="1:8">
      <c r="A25" s="571" t="s">
        <v>18</v>
      </c>
      <c r="D25" s="341">
        <v>1001</v>
      </c>
      <c r="E25" s="62"/>
      <c r="F25" s="60">
        <f t="shared" si="0"/>
        <v>647.74710000000005</v>
      </c>
      <c r="G25" s="62"/>
      <c r="H25" s="59"/>
    </row>
    <row r="26" spans="1:8">
      <c r="A26" s="571" t="s">
        <v>19</v>
      </c>
      <c r="D26" s="758">
        <f>123406-3612</f>
        <v>119794</v>
      </c>
      <c r="E26" s="62"/>
      <c r="F26" s="60">
        <f>F$9*D26-1</f>
        <v>77517.697400000005</v>
      </c>
      <c r="G26" s="62"/>
      <c r="H26" s="59"/>
    </row>
    <row r="27" spans="1:8">
      <c r="A27" s="571" t="s">
        <v>20</v>
      </c>
      <c r="D27" s="341">
        <v>0</v>
      </c>
      <c r="E27" s="62"/>
      <c r="F27" s="341">
        <v>0</v>
      </c>
      <c r="G27" s="62"/>
    </row>
    <row r="28" spans="1:8">
      <c r="A28" s="571" t="s">
        <v>21</v>
      </c>
      <c r="D28" s="341">
        <v>0</v>
      </c>
      <c r="E28" s="62"/>
      <c r="F28" s="60">
        <f t="shared" si="0"/>
        <v>0</v>
      </c>
      <c r="G28" s="62"/>
      <c r="H28" s="59"/>
    </row>
    <row r="29" spans="1:8">
      <c r="A29" s="571" t="s">
        <v>22</v>
      </c>
      <c r="D29" s="341">
        <v>0</v>
      </c>
      <c r="E29" s="62"/>
      <c r="F29" s="60">
        <f t="shared" si="0"/>
        <v>0</v>
      </c>
      <c r="G29" s="62"/>
      <c r="H29" s="59"/>
    </row>
    <row r="30" spans="1:8">
      <c r="A30" s="571" t="s">
        <v>23</v>
      </c>
      <c r="D30" s="341">
        <v>690</v>
      </c>
      <c r="E30" s="62"/>
      <c r="F30" s="60">
        <f t="shared" si="0"/>
        <v>446.49900000000002</v>
      </c>
      <c r="G30" s="62"/>
      <c r="H30" s="59"/>
    </row>
    <row r="31" spans="1:8">
      <c r="A31" s="751" t="s">
        <v>687</v>
      </c>
      <c r="D31" s="341">
        <v>0</v>
      </c>
      <c r="E31" s="62"/>
      <c r="F31" s="758">
        <v>-1528</v>
      </c>
      <c r="G31" s="62"/>
      <c r="H31" s="760" t="s">
        <v>674</v>
      </c>
    </row>
    <row r="32" spans="1:8">
      <c r="A32" s="571" t="s">
        <v>24</v>
      </c>
      <c r="D32" s="341">
        <v>16809</v>
      </c>
      <c r="E32" s="62"/>
      <c r="F32" s="60">
        <f>F$9*D32</f>
        <v>10877.1039</v>
      </c>
      <c r="G32" s="62"/>
      <c r="H32" s="59"/>
    </row>
    <row r="33" spans="1:8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</row>
    <row r="34" spans="1:8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</row>
    <row r="35" spans="1:8">
      <c r="A35" s="571" t="s">
        <v>25</v>
      </c>
      <c r="D35" s="343">
        <f>SUM(D22:D34)</f>
        <v>260165</v>
      </c>
      <c r="E35" s="62"/>
      <c r="F35" s="63">
        <f>SUM(F22:F34)</f>
        <v>166824.77149999997</v>
      </c>
      <c r="G35" s="62"/>
      <c r="H35" s="59"/>
    </row>
    <row r="36" spans="1:8">
      <c r="D36" s="18"/>
      <c r="G36" s="72"/>
      <c r="H36" s="59"/>
    </row>
    <row r="37" spans="1:8">
      <c r="A37" s="571" t="s">
        <v>26</v>
      </c>
      <c r="D37" s="341">
        <f>D19-D35</f>
        <v>-164834</v>
      </c>
      <c r="E37" s="60"/>
      <c r="F37" s="60">
        <f>F19-F35</f>
        <v>-105133.79349999997</v>
      </c>
      <c r="G37" s="62"/>
      <c r="H37" s="59"/>
    </row>
    <row r="38" spans="1:8">
      <c r="D38" s="18"/>
      <c r="E38" s="60"/>
      <c r="F38" s="60"/>
      <c r="G38" s="60"/>
    </row>
    <row r="39" spans="1:8">
      <c r="A39" s="571" t="s">
        <v>27</v>
      </c>
      <c r="C39" s="64">
        <v>0.35</v>
      </c>
      <c r="D39" s="18"/>
      <c r="E39" s="65"/>
      <c r="F39" s="61">
        <f>C39*F37</f>
        <v>-36796.827724999988</v>
      </c>
      <c r="G39" s="59"/>
    </row>
    <row r="40" spans="1:8">
      <c r="D40" s="18"/>
      <c r="E40" s="65"/>
      <c r="F40" s="59"/>
      <c r="G40" s="59"/>
    </row>
    <row r="41" spans="1:8">
      <c r="A41" s="571" t="s">
        <v>28</v>
      </c>
      <c r="D41" s="18"/>
      <c r="E41" s="60"/>
      <c r="F41" s="59">
        <f>F37-F39</f>
        <v>-68336.96577499999</v>
      </c>
      <c r="G41" s="60"/>
    </row>
    <row r="42" spans="1:8">
      <c r="D42" s="18"/>
      <c r="E42" s="60"/>
      <c r="F42" s="60"/>
      <c r="G42" s="60"/>
    </row>
    <row r="43" spans="1:8">
      <c r="A43" s="75"/>
      <c r="D43" s="18"/>
    </row>
    <row r="44" spans="1:8">
      <c r="A44" s="715" t="s">
        <v>574</v>
      </c>
      <c r="B44" s="715"/>
      <c r="C44" s="715"/>
      <c r="D44" s="676">
        <v>9335</v>
      </c>
      <c r="E44" s="728"/>
      <c r="F44" s="676">
        <f>F$9*D44</f>
        <v>6040.6785</v>
      </c>
      <c r="G44" s="62"/>
      <c r="H44" s="739" t="s">
        <v>673</v>
      </c>
    </row>
    <row r="45" spans="1:8">
      <c r="A45" s="715" t="s">
        <v>575</v>
      </c>
      <c r="B45" s="715"/>
      <c r="C45" s="715"/>
      <c r="D45" s="676">
        <v>15005</v>
      </c>
      <c r="E45" s="728"/>
      <c r="F45" s="676">
        <f>F$9*D45</f>
        <v>9709.7355000000007</v>
      </c>
      <c r="G45" s="62"/>
      <c r="H45" s="739" t="s">
        <v>673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T1" sqref="T1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928" t="s">
        <v>248</v>
      </c>
      <c r="B1" s="928"/>
      <c r="C1" s="928"/>
      <c r="D1" s="928"/>
      <c r="E1" s="928"/>
      <c r="F1" s="928"/>
    </row>
    <row r="2" spans="1:10">
      <c r="A2" s="929" t="s">
        <v>93</v>
      </c>
      <c r="B2" s="929"/>
      <c r="C2" s="929"/>
      <c r="D2" s="929"/>
      <c r="E2" s="929"/>
      <c r="F2" s="929"/>
      <c r="G2" s="705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72" t="s">
        <v>89</v>
      </c>
      <c r="H4" s="572" t="s">
        <v>89</v>
      </c>
      <c r="I4" s="572" t="s">
        <v>571</v>
      </c>
      <c r="J4" s="572"/>
    </row>
    <row r="5" spans="1:10">
      <c r="E5" s="167" t="s">
        <v>119</v>
      </c>
      <c r="G5" s="572" t="s">
        <v>250</v>
      </c>
      <c r="H5" s="572" t="s">
        <v>250</v>
      </c>
      <c r="I5" s="572" t="s">
        <v>89</v>
      </c>
      <c r="J5" s="572" t="s">
        <v>572</v>
      </c>
    </row>
    <row r="6" spans="1:10">
      <c r="A6" s="158" t="s">
        <v>3</v>
      </c>
      <c r="E6" s="158" t="s">
        <v>249</v>
      </c>
      <c r="G6" s="572" t="s">
        <v>568</v>
      </c>
      <c r="H6" s="572" t="s">
        <v>570</v>
      </c>
      <c r="I6" s="572" t="s">
        <v>88</v>
      </c>
      <c r="J6" s="572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00" t="s">
        <v>569</v>
      </c>
      <c r="H7" s="600" t="s">
        <v>569</v>
      </c>
      <c r="I7" s="600" t="s">
        <v>276</v>
      </c>
      <c r="J7" s="600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53757</v>
      </c>
      <c r="H12" s="162">
        <f>ROUND('PF Power Supply 2016 load'!F11,0)</f>
        <v>51162</v>
      </c>
      <c r="I12" s="550">
        <f>H12-G12</f>
        <v>-2595</v>
      </c>
    </row>
    <row r="13" spans="1:10">
      <c r="A13" s="158">
        <v>4</v>
      </c>
      <c r="B13" s="156" t="s">
        <v>82</v>
      </c>
      <c r="E13" s="582">
        <f>SUM(E10:E12)</f>
        <v>3962.4971279193942</v>
      </c>
      <c r="F13" s="208"/>
      <c r="G13" s="582">
        <f>SUM(G10:G12)</f>
        <v>53757</v>
      </c>
      <c r="H13" s="582">
        <f>SUM(H10:H12)</f>
        <v>51162</v>
      </c>
      <c r="I13" s="582">
        <f>SUM(I10:I12)</f>
        <v>-2595</v>
      </c>
      <c r="J13" s="582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50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82">
        <f>E13+E14</f>
        <v>3962.4971279193942</v>
      </c>
      <c r="F15" s="208"/>
      <c r="G15" s="162">
        <f>G13+G14</f>
        <v>64286</v>
      </c>
      <c r="H15" s="162">
        <f>H13+H14</f>
        <v>61691</v>
      </c>
      <c r="I15" s="582">
        <f>I13+I14</f>
        <v>-2595</v>
      </c>
      <c r="J15" s="582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89306</v>
      </c>
      <c r="H19" s="162">
        <f>ROUND('PF Power Supply 2016 load'!F35-H20,0)-1</f>
        <v>89306</v>
      </c>
      <c r="I19" s="550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75611</v>
      </c>
      <c r="H20" s="162">
        <f>ROUND('PF Power Supply 2016 load'!F26,0)</f>
        <v>77518</v>
      </c>
      <c r="I20" s="550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164917</v>
      </c>
      <c r="H24" s="162">
        <f>SUM(H19:H23)</f>
        <v>166824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48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82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48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48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164917</v>
      </c>
      <c r="H41" s="164">
        <f>H24+H30+H32+H33+H34+H40</f>
        <v>166824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1755.1939617567409</v>
      </c>
      <c r="G43" s="162">
        <f>G15-G41</f>
        <v>-100631</v>
      </c>
      <c r="H43" s="162">
        <f>H15-H41</f>
        <v>-105133</v>
      </c>
      <c r="I43" s="162">
        <f>I15-I41</f>
        <v>-4502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-35221</v>
      </c>
      <c r="H46" s="162">
        <f>ROUND(0.35*H43,0)</f>
        <v>-36797</v>
      </c>
      <c r="I46" s="162">
        <f>ROUND(0.35*I43,0)</f>
        <v>-1576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-65410</v>
      </c>
      <c r="H51" s="162">
        <f>H43-H46-H47-H48-H49</f>
        <v>-68336</v>
      </c>
      <c r="I51" s="162">
        <f>I43-I46-I47-I48-I49</f>
        <v>-2926</v>
      </c>
      <c r="J51" s="162">
        <f>J43-J46-J47-J48-J49</f>
        <v>4067.1939617567414</v>
      </c>
    </row>
    <row r="52" spans="1:10">
      <c r="A52" s="158"/>
    </row>
    <row r="53" spans="1:10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17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25" t="s">
        <v>672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64">
        <v>2014</v>
      </c>
    </row>
    <row r="10" spans="1:19">
      <c r="S10" s="236"/>
    </row>
    <row r="11" spans="1:19">
      <c r="A11" s="12" t="s">
        <v>300</v>
      </c>
      <c r="E11" s="345">
        <f>'CBR Hist'!F24</f>
        <v>-3114</v>
      </c>
      <c r="F11" s="345">
        <f>'CBR Hist'!G24</f>
        <v>9152</v>
      </c>
      <c r="G11" s="345">
        <f>'CBR Hist'!H24</f>
        <v>13808</v>
      </c>
      <c r="H11" s="345">
        <f>'CBR Hist'!I24</f>
        <v>14915</v>
      </c>
      <c r="I11" s="345">
        <f>'CBR Hist'!J24</f>
        <v>22879</v>
      </c>
      <c r="J11" s="345">
        <f>'CBR Hist'!K24</f>
        <v>13812</v>
      </c>
      <c r="K11" s="345">
        <f>'CBR Hist'!L24</f>
        <v>25745</v>
      </c>
      <c r="L11" s="345">
        <f>'CBR Hist'!M24</f>
        <v>21795</v>
      </c>
      <c r="M11" s="345">
        <f>'CBR Hist'!N24</f>
        <v>22000</v>
      </c>
      <c r="N11" s="345">
        <f>'CBR Hist'!O24</f>
        <v>22266</v>
      </c>
      <c r="O11" s="345">
        <f>'CBR Hist'!P24</f>
        <v>22129</v>
      </c>
      <c r="P11" s="345">
        <f>'CBR Hist'!Q24</f>
        <v>25158</v>
      </c>
      <c r="Q11" s="345">
        <f>'CBR Hist'!R24+Q19</f>
        <v>25680</v>
      </c>
      <c r="R11" s="345">
        <f>'CBR Hist'!S24</f>
        <v>23284</v>
      </c>
      <c r="S11" s="709">
        <f>'CBR Hist'!T24</f>
        <v>23715</v>
      </c>
    </row>
    <row r="12" spans="1:19">
      <c r="A12" s="12" t="s">
        <v>301</v>
      </c>
      <c r="P12" s="345">
        <f>'CBR Hist'!Q25</f>
        <v>403</v>
      </c>
      <c r="Q12" s="345">
        <f>'CBR Hist'!R25-Q19</f>
        <v>-7744</v>
      </c>
      <c r="R12" s="345">
        <f>'CBR Hist'!S25</f>
        <v>8629</v>
      </c>
      <c r="S12" s="709">
        <f>'CBR Hist'!T25</f>
        <v>8101</v>
      </c>
    </row>
    <row r="13" spans="1:19">
      <c r="A13" s="12"/>
      <c r="S13" s="236"/>
    </row>
    <row r="14" spans="1:19">
      <c r="A14" s="12"/>
      <c r="B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S14" s="236"/>
    </row>
    <row r="15" spans="1:19">
      <c r="A15" s="12"/>
      <c r="B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S15" s="236"/>
    </row>
    <row r="16" spans="1:19">
      <c r="A16" s="12" t="s">
        <v>302</v>
      </c>
      <c r="E16" s="346">
        <f>10346-213</f>
        <v>10133</v>
      </c>
      <c r="F16" s="346">
        <f>10784-205</f>
        <v>10579</v>
      </c>
      <c r="G16" s="346">
        <f>12359+3035-228</f>
        <v>15166</v>
      </c>
      <c r="H16" s="346">
        <f>14152+1470-219</f>
        <v>15403</v>
      </c>
      <c r="I16" s="346">
        <f>15379+1705-113-221</f>
        <v>16750</v>
      </c>
      <c r="J16" s="346">
        <f>17205-154-219</f>
        <v>16832</v>
      </c>
      <c r="K16" s="346">
        <f>18582-216</f>
        <v>18366</v>
      </c>
      <c r="L16" s="346">
        <f>18487-225</f>
        <v>18262</v>
      </c>
      <c r="M16" s="346">
        <f>17022-195</f>
        <v>16827</v>
      </c>
      <c r="N16" s="346">
        <f>17556-193</f>
        <v>17363</v>
      </c>
      <c r="O16" s="346">
        <f>18188-191</f>
        <v>17997</v>
      </c>
      <c r="P16" s="346">
        <f>18013-191</f>
        <v>17822</v>
      </c>
      <c r="Q16" s="346">
        <f>18237</f>
        <v>18237</v>
      </c>
      <c r="R16" s="346">
        <v>16250</v>
      </c>
      <c r="S16" s="238">
        <v>16426</v>
      </c>
    </row>
    <row r="17" spans="1:19">
      <c r="A17" s="12" t="s">
        <v>303</v>
      </c>
      <c r="E17" s="346">
        <f>4492</f>
        <v>4492</v>
      </c>
      <c r="F17" s="346">
        <f>4393</f>
        <v>4393</v>
      </c>
      <c r="G17" s="346">
        <f>4780</f>
        <v>4780</v>
      </c>
      <c r="H17" s="346">
        <f>4891</f>
        <v>4891</v>
      </c>
      <c r="I17" s="346">
        <f>5220</f>
        <v>5220</v>
      </c>
      <c r="J17" s="346">
        <v>5531</v>
      </c>
      <c r="K17" s="346">
        <f>5957</f>
        <v>5957</v>
      </c>
      <c r="L17" s="346">
        <f>6352+1</f>
        <v>6353</v>
      </c>
      <c r="M17" s="346">
        <v>5969</v>
      </c>
      <c r="N17" s="346">
        <v>6116</v>
      </c>
      <c r="O17" s="346">
        <v>6354</v>
      </c>
      <c r="P17" s="346">
        <v>6681</v>
      </c>
      <c r="Q17" s="346">
        <v>6976</v>
      </c>
      <c r="R17" s="346">
        <v>6529</v>
      </c>
      <c r="S17" s="238">
        <v>6725</v>
      </c>
    </row>
    <row r="18" spans="1:19">
      <c r="A18" s="12" t="s">
        <v>304</v>
      </c>
      <c r="E18" s="346">
        <f>9+216</f>
        <v>225</v>
      </c>
      <c r="F18" s="346">
        <f>9+221</f>
        <v>230</v>
      </c>
      <c r="G18" s="346">
        <f>1+210</f>
        <v>211</v>
      </c>
      <c r="H18" s="346">
        <f>17+212</f>
        <v>229</v>
      </c>
      <c r="I18" s="346">
        <f>9+212+8+11+102</f>
        <v>342</v>
      </c>
      <c r="J18" s="346">
        <f>10+221+31+4</f>
        <v>266</v>
      </c>
      <c r="K18" s="346">
        <f>32+222</f>
        <v>254</v>
      </c>
      <c r="L18" s="346">
        <f>44+218</f>
        <v>262</v>
      </c>
      <c r="M18" s="346">
        <f>62+218</f>
        <v>280</v>
      </c>
      <c r="N18" s="346">
        <f>63+427</f>
        <v>490</v>
      </c>
      <c r="O18" s="346">
        <f>595+62</f>
        <v>657</v>
      </c>
      <c r="P18" s="346">
        <f>655</f>
        <v>655</v>
      </c>
      <c r="Q18" s="346">
        <v>659</v>
      </c>
      <c r="R18" s="346">
        <v>652</v>
      </c>
      <c r="S18" s="238">
        <v>710</v>
      </c>
    </row>
    <row r="19" spans="1:19">
      <c r="A19" s="12"/>
      <c r="E19" s="348" t="s">
        <v>326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>
        <v>-192</v>
      </c>
      <c r="R19" s="346">
        <v>-147</v>
      </c>
      <c r="S19" s="238">
        <v>-146</v>
      </c>
    </row>
    <row r="20" spans="1:19">
      <c r="A20" s="12"/>
      <c r="B20" s="12" t="s">
        <v>324</v>
      </c>
      <c r="E20" s="349">
        <f>SUM(E16:E18)</f>
        <v>14850</v>
      </c>
      <c r="F20" s="349">
        <f t="shared" ref="F20:P20" si="0">SUM(F16:F18)</f>
        <v>15202</v>
      </c>
      <c r="G20" s="349">
        <f t="shared" si="0"/>
        <v>20157</v>
      </c>
      <c r="H20" s="349">
        <f t="shared" si="0"/>
        <v>20523</v>
      </c>
      <c r="I20" s="349">
        <f t="shared" si="0"/>
        <v>22312</v>
      </c>
      <c r="J20" s="349">
        <f t="shared" si="0"/>
        <v>22629</v>
      </c>
      <c r="K20" s="349">
        <f t="shared" si="0"/>
        <v>24577</v>
      </c>
      <c r="L20" s="349">
        <f t="shared" si="0"/>
        <v>24877</v>
      </c>
      <c r="M20" s="349">
        <f t="shared" si="0"/>
        <v>23076</v>
      </c>
      <c r="N20" s="349">
        <f t="shared" si="0"/>
        <v>23969</v>
      </c>
      <c r="O20" s="349">
        <f t="shared" si="0"/>
        <v>25008</v>
      </c>
      <c r="P20" s="349">
        <f t="shared" si="0"/>
        <v>25158</v>
      </c>
      <c r="Q20" s="349">
        <f>SUM(Q16:Q19)</f>
        <v>25680</v>
      </c>
      <c r="R20" s="349">
        <f>SUM(R16:R19)</f>
        <v>23284</v>
      </c>
      <c r="S20" s="710">
        <f>SUM(S16:S19)</f>
        <v>23715</v>
      </c>
    </row>
    <row r="21" spans="1:19">
      <c r="A21" s="12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34">
        <v>2450</v>
      </c>
      <c r="S22" s="534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34">
        <v>32</v>
      </c>
      <c r="S23" s="534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60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60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61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50" t="s">
        <v>325</v>
      </c>
      <c r="D42" s="236"/>
      <c r="E42" s="562">
        <f>SUM(E22:E41)</f>
        <v>-17964</v>
      </c>
      <c r="F42" s="562">
        <f t="shared" ref="F42:P42" si="1">SUM(F22:F41)</f>
        <v>-6050</v>
      </c>
      <c r="G42" s="562">
        <f t="shared" si="1"/>
        <v>-6349</v>
      </c>
      <c r="H42" s="562">
        <f t="shared" si="1"/>
        <v>-5608</v>
      </c>
      <c r="I42" s="562">
        <f t="shared" si="1"/>
        <v>567</v>
      </c>
      <c r="J42" s="562">
        <f t="shared" si="1"/>
        <v>-8817</v>
      </c>
      <c r="K42" s="562">
        <f t="shared" si="1"/>
        <v>1168</v>
      </c>
      <c r="L42" s="562">
        <f t="shared" si="1"/>
        <v>-3082</v>
      </c>
      <c r="M42" s="562">
        <f t="shared" si="1"/>
        <v>-1076</v>
      </c>
      <c r="N42" s="562">
        <f t="shared" si="1"/>
        <v>-1703</v>
      </c>
      <c r="O42" s="562">
        <f t="shared" si="1"/>
        <v>-2879</v>
      </c>
      <c r="P42" s="562">
        <f t="shared" si="1"/>
        <v>403</v>
      </c>
      <c r="Q42" s="562">
        <f>SUM(Q22:Q41)</f>
        <v>-7744</v>
      </c>
      <c r="R42" s="562">
        <f>SUM(R22:R41)</f>
        <v>8629</v>
      </c>
      <c r="S42" s="562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63">
        <f t="shared" ref="E44:P44" si="2">E20+E42</f>
        <v>-3114</v>
      </c>
      <c r="F44" s="563">
        <f t="shared" si="2"/>
        <v>9152</v>
      </c>
      <c r="G44" s="563">
        <f t="shared" si="2"/>
        <v>13808</v>
      </c>
      <c r="H44" s="563">
        <f t="shared" si="2"/>
        <v>14915</v>
      </c>
      <c r="I44" s="563">
        <f t="shared" si="2"/>
        <v>22879</v>
      </c>
      <c r="J44" s="563">
        <f t="shared" si="2"/>
        <v>13812</v>
      </c>
      <c r="K44" s="563">
        <f t="shared" si="2"/>
        <v>25745</v>
      </c>
      <c r="L44" s="563">
        <f t="shared" si="2"/>
        <v>21795</v>
      </c>
      <c r="M44" s="563">
        <f t="shared" si="2"/>
        <v>22000</v>
      </c>
      <c r="N44" s="563">
        <f t="shared" si="2"/>
        <v>22266</v>
      </c>
      <c r="O44" s="563">
        <f t="shared" si="2"/>
        <v>22129</v>
      </c>
      <c r="P44" s="563">
        <f t="shared" si="2"/>
        <v>25561</v>
      </c>
      <c r="Q44" s="563">
        <f>Q20+Q42</f>
        <v>17936</v>
      </c>
      <c r="R44" s="563">
        <f>R20+R42</f>
        <v>31913</v>
      </c>
      <c r="S44" s="563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63">
        <f>E42-E25</f>
        <v>-1320</v>
      </c>
      <c r="F47" s="563">
        <f>F42-F28</f>
        <v>-4634</v>
      </c>
      <c r="G47" s="563">
        <f t="shared" ref="G47:O47" si="4">G42-G28</f>
        <v>1163</v>
      </c>
      <c r="H47" s="563">
        <f t="shared" si="4"/>
        <v>731</v>
      </c>
      <c r="I47" s="563">
        <f t="shared" si="4"/>
        <v>567</v>
      </c>
      <c r="J47" s="563">
        <f t="shared" si="4"/>
        <v>571</v>
      </c>
      <c r="K47" s="563">
        <f>K42-K28</f>
        <v>1168</v>
      </c>
      <c r="L47" s="563">
        <f t="shared" si="4"/>
        <v>2500</v>
      </c>
      <c r="M47" s="563">
        <f t="shared" si="4"/>
        <v>2500</v>
      </c>
      <c r="N47" s="563">
        <f t="shared" si="4"/>
        <v>2302</v>
      </c>
      <c r="O47" s="563">
        <f t="shared" si="4"/>
        <v>3365</v>
      </c>
      <c r="P47" s="563">
        <f>P42-P28-P33</f>
        <v>5013</v>
      </c>
      <c r="Q47" s="563">
        <f>Q42-Q28-Q33</f>
        <v>583</v>
      </c>
      <c r="R47" s="563">
        <f>R42-R28</f>
        <v>8629</v>
      </c>
      <c r="S47" s="563">
        <f>S42-S28</f>
        <v>8101</v>
      </c>
    </row>
    <row r="48" spans="1:19">
      <c r="D48" s="236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236"/>
      <c r="S48" s="236"/>
    </row>
    <row r="49" spans="1:19">
      <c r="D49" s="236"/>
      <c r="E49" s="564">
        <v>2000</v>
      </c>
      <c r="F49" s="564">
        <v>2001</v>
      </c>
      <c r="G49" s="564">
        <v>2002</v>
      </c>
      <c r="H49" s="564">
        <v>2003</v>
      </c>
      <c r="I49" s="564">
        <v>2004</v>
      </c>
      <c r="J49" s="564">
        <v>2005</v>
      </c>
      <c r="K49" s="564">
        <v>2006</v>
      </c>
      <c r="L49" s="564">
        <v>2007</v>
      </c>
      <c r="M49" s="564">
        <v>2008</v>
      </c>
      <c r="N49" s="564">
        <v>2009</v>
      </c>
      <c r="O49" s="564">
        <v>2010</v>
      </c>
      <c r="P49" s="564">
        <v>2011</v>
      </c>
      <c r="Q49" s="564">
        <v>2012</v>
      </c>
      <c r="R49" s="564">
        <v>2013</v>
      </c>
      <c r="S49" s="564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65">
        <f>'CBR Hist'!F58</f>
        <v>15127</v>
      </c>
      <c r="F52" s="565">
        <f>'CBR Hist'!G58</f>
        <v>16340</v>
      </c>
      <c r="G52" s="565">
        <f>'CBR Hist'!H58</f>
        <v>20910</v>
      </c>
      <c r="H52" s="565">
        <f>'CBR Hist'!I58</f>
        <v>21299</v>
      </c>
      <c r="I52" s="565">
        <f>'CBR Hist'!J58</f>
        <v>21374</v>
      </c>
      <c r="J52" s="565">
        <f>'CBR Hist'!K58</f>
        <v>22459</v>
      </c>
      <c r="K52" s="565">
        <f>'CBR Hist'!L58</f>
        <v>23458</v>
      </c>
      <c r="L52" s="565">
        <f>'CBR Hist'!M58</f>
        <v>20632</v>
      </c>
      <c r="M52" s="565">
        <f>'CBR Hist'!N58</f>
        <v>23321</v>
      </c>
      <c r="N52" s="565">
        <f>'CBR Hist'!O58</f>
        <v>57116</v>
      </c>
      <c r="O52" s="565">
        <f>'CBR Hist'!P58</f>
        <v>81955</v>
      </c>
      <c r="P52" s="565">
        <f>'CBR Hist'!Q58</f>
        <v>84081</v>
      </c>
      <c r="Q52" s="565">
        <f>'CBR Hist'!R58</f>
        <v>85247</v>
      </c>
      <c r="R52" s="565">
        <f>'CBR Hist'!S58</f>
        <v>91466</v>
      </c>
      <c r="S52" s="565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15">
        <f>SUM(E52:E56)</f>
        <v>1022583</v>
      </c>
      <c r="F57" s="415">
        <f t="shared" ref="F57:O57" si="5">SUM(F52:F56)</f>
        <v>1066652</v>
      </c>
      <c r="G57" s="415">
        <f t="shared" si="5"/>
        <v>1295496</v>
      </c>
      <c r="H57" s="415">
        <f t="shared" si="5"/>
        <v>1331772</v>
      </c>
      <c r="I57" s="415">
        <f t="shared" si="5"/>
        <v>1409192</v>
      </c>
      <c r="J57" s="415">
        <f t="shared" si="5"/>
        <v>1462135</v>
      </c>
      <c r="K57" s="415">
        <f t="shared" si="5"/>
        <v>1554029</v>
      </c>
      <c r="L57" s="415">
        <f t="shared" si="5"/>
        <v>1603303</v>
      </c>
      <c r="M57" s="415">
        <f t="shared" si="5"/>
        <v>1689260</v>
      </c>
      <c r="N57" s="415">
        <f t="shared" si="5"/>
        <v>1806872</v>
      </c>
      <c r="O57" s="415">
        <f t="shared" si="5"/>
        <v>1921533</v>
      </c>
      <c r="P57" s="415">
        <f t="shared" ref="P57" si="6">SUM(P52:P56)</f>
        <v>1955287</v>
      </c>
      <c r="Q57" s="415">
        <f t="shared" ref="Q57:R57" si="7">SUM(Q52:Q56)</f>
        <v>2043913</v>
      </c>
      <c r="R57" s="415">
        <f t="shared" si="7"/>
        <v>2165496</v>
      </c>
      <c r="S57" s="415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19">
        <f>SUM(P59:P63)</f>
        <v>666983</v>
      </c>
      <c r="Q64" s="419">
        <f>SUM(Q59:Q63)</f>
        <v>704134</v>
      </c>
      <c r="R64" s="419">
        <f>SUM(R59:R63)</f>
        <v>749132</v>
      </c>
      <c r="S64" s="419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18">
        <f t="shared" ref="E65" si="9">E57-E64</f>
        <v>674238</v>
      </c>
      <c r="F65" s="418">
        <f t="shared" ref="F65:O65" si="10">F57-F64</f>
        <v>706998</v>
      </c>
      <c r="G65" s="418">
        <f t="shared" si="10"/>
        <v>876903</v>
      </c>
      <c r="H65" s="418">
        <f t="shared" si="10"/>
        <v>881676</v>
      </c>
      <c r="I65" s="418">
        <f t="shared" si="10"/>
        <v>933257</v>
      </c>
      <c r="J65" s="418">
        <f t="shared" si="10"/>
        <v>958941</v>
      </c>
      <c r="K65" s="418">
        <f t="shared" si="10"/>
        <v>1017347</v>
      </c>
      <c r="L65" s="418">
        <f t="shared" si="10"/>
        <v>1035983</v>
      </c>
      <c r="M65" s="418">
        <f t="shared" si="10"/>
        <v>1088968</v>
      </c>
      <c r="N65" s="418">
        <f t="shared" si="10"/>
        <v>1174762</v>
      </c>
      <c r="O65" s="418">
        <f t="shared" si="10"/>
        <v>1244898</v>
      </c>
      <c r="P65" s="418">
        <f t="shared" ref="P65:Q65" si="11">P57-P64</f>
        <v>1288304</v>
      </c>
      <c r="Q65" s="418">
        <f t="shared" si="11"/>
        <v>1339779</v>
      </c>
      <c r="R65" s="418">
        <f t="shared" ref="R65:S65" si="12">R57-R64</f>
        <v>1416364</v>
      </c>
      <c r="S65" s="418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15">
        <f>E65+E67</f>
        <v>569992</v>
      </c>
      <c r="F68" s="415">
        <f t="shared" ref="F68:O68" si="13">F65+F67</f>
        <v>598885</v>
      </c>
      <c r="G68" s="415">
        <f t="shared" si="13"/>
        <v>763096</v>
      </c>
      <c r="H68" s="415">
        <f t="shared" si="13"/>
        <v>743549</v>
      </c>
      <c r="I68" s="415">
        <f t="shared" si="13"/>
        <v>778726</v>
      </c>
      <c r="J68" s="415">
        <f t="shared" si="13"/>
        <v>820685</v>
      </c>
      <c r="K68" s="415">
        <f t="shared" si="13"/>
        <v>874964</v>
      </c>
      <c r="L68" s="415">
        <f t="shared" si="13"/>
        <v>892437</v>
      </c>
      <c r="M68" s="415">
        <f t="shared" si="13"/>
        <v>937291</v>
      </c>
      <c r="N68" s="415">
        <f t="shared" si="13"/>
        <v>1005341</v>
      </c>
      <c r="O68" s="415">
        <f t="shared" si="13"/>
        <v>1053967</v>
      </c>
      <c r="P68" s="415">
        <f t="shared" ref="P68" si="14">P65+P67</f>
        <v>1087141</v>
      </c>
      <c r="Q68" s="415">
        <f t="shared" ref="Q68:R68" si="15">Q65+Q67</f>
        <v>1131570</v>
      </c>
      <c r="R68" s="415">
        <f t="shared" si="15"/>
        <v>1195010</v>
      </c>
      <c r="S68" s="415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17">
        <f>SUM(E68:E71)</f>
        <v>568492</v>
      </c>
      <c r="F72" s="417">
        <f t="shared" ref="F72:O72" si="17">SUM(F68:F71)</f>
        <v>597515</v>
      </c>
      <c r="G72" s="417">
        <f t="shared" si="17"/>
        <v>761858</v>
      </c>
      <c r="H72" s="417">
        <f t="shared" si="17"/>
        <v>742443</v>
      </c>
      <c r="I72" s="417">
        <f t="shared" si="17"/>
        <v>778011</v>
      </c>
      <c r="J72" s="417">
        <f t="shared" si="17"/>
        <v>819842</v>
      </c>
      <c r="K72" s="417">
        <f t="shared" si="17"/>
        <v>874511</v>
      </c>
      <c r="L72" s="417">
        <f t="shared" si="17"/>
        <v>891855</v>
      </c>
      <c r="M72" s="417">
        <f t="shared" si="17"/>
        <v>936840</v>
      </c>
      <c r="N72" s="417">
        <f t="shared" si="17"/>
        <v>1005019</v>
      </c>
      <c r="O72" s="417">
        <f t="shared" si="17"/>
        <v>1072028</v>
      </c>
      <c r="P72" s="417">
        <f t="shared" ref="P72" si="18">SUM(P68:P71)</f>
        <v>1137863</v>
      </c>
      <c r="Q72" s="417">
        <f t="shared" ref="Q72:R72" si="19">SUM(Q68:Q71)</f>
        <v>1158975</v>
      </c>
      <c r="R72" s="417">
        <f t="shared" si="19"/>
        <v>1226052</v>
      </c>
      <c r="S72" s="417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66">
        <f>E49</f>
        <v>2000</v>
      </c>
      <c r="F74" s="566">
        <f t="shared" ref="F74:R74" si="22">F49</f>
        <v>2001</v>
      </c>
      <c r="G74" s="566">
        <f t="shared" si="22"/>
        <v>2002</v>
      </c>
      <c r="H74" s="566">
        <f t="shared" si="22"/>
        <v>2003</v>
      </c>
      <c r="I74" s="566">
        <f t="shared" si="22"/>
        <v>2004</v>
      </c>
      <c r="J74" s="566">
        <f t="shared" si="22"/>
        <v>2005</v>
      </c>
      <c r="K74" s="566">
        <f t="shared" si="22"/>
        <v>2006</v>
      </c>
      <c r="L74" s="566">
        <f t="shared" si="22"/>
        <v>2007</v>
      </c>
      <c r="M74" s="566">
        <f t="shared" si="22"/>
        <v>2008</v>
      </c>
      <c r="N74" s="566">
        <f t="shared" si="22"/>
        <v>2009</v>
      </c>
      <c r="O74" s="566">
        <f t="shared" si="22"/>
        <v>2010</v>
      </c>
      <c r="P74" s="566">
        <f t="shared" si="22"/>
        <v>2011</v>
      </c>
      <c r="Q74" s="566">
        <f t="shared" si="22"/>
        <v>2012</v>
      </c>
      <c r="R74" s="566">
        <f t="shared" si="22"/>
        <v>2013</v>
      </c>
      <c r="S74" s="566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67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67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67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67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67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67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67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67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67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67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67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67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67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67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67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67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67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52" t="s">
        <v>336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46">
        <f>-236-78</f>
        <v>-314</v>
      </c>
      <c r="O93" s="346">
        <f>-476-429</f>
        <v>-905</v>
      </c>
      <c r="P93" s="346">
        <f>-501-36-240-153</f>
        <v>-930</v>
      </c>
      <c r="Q93" s="346">
        <f>-448-33-215-136</f>
        <v>-832</v>
      </c>
      <c r="R93" s="346">
        <f>-395-189-121</f>
        <v>-705</v>
      </c>
      <c r="S93" s="238">
        <f>-342-163-104</f>
        <v>-609</v>
      </c>
    </row>
    <row r="94" spans="1:19">
      <c r="A94" s="12" t="s">
        <v>339</v>
      </c>
      <c r="D94" s="352" t="s">
        <v>347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>
        <v>5075</v>
      </c>
      <c r="O94" s="346">
        <v>4398</v>
      </c>
      <c r="P94" s="346">
        <v>3721</v>
      </c>
      <c r="Q94" s="346">
        <v>3045</v>
      </c>
      <c r="R94" s="346">
        <v>2368</v>
      </c>
      <c r="S94" s="238">
        <v>1692</v>
      </c>
    </row>
    <row r="95" spans="1:19">
      <c r="A95" s="12" t="s">
        <v>339</v>
      </c>
      <c r="D95" s="352" t="s">
        <v>336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>
        <v>-1776</v>
      </c>
      <c r="O95" s="346">
        <v>-1539</v>
      </c>
      <c r="P95" s="346">
        <v>-1303</v>
      </c>
      <c r="Q95" s="346">
        <v>-1066</v>
      </c>
      <c r="R95" s="346">
        <v>-829</v>
      </c>
      <c r="S95" s="238">
        <v>-592</v>
      </c>
    </row>
    <row r="96" spans="1:19">
      <c r="A96" s="12" t="s">
        <v>340</v>
      </c>
      <c r="D96" s="352" t="s">
        <v>347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>
        <v>279</v>
      </c>
      <c r="P96" s="346">
        <v>6007</v>
      </c>
      <c r="Q96" s="346">
        <v>4647</v>
      </c>
      <c r="R96" s="346">
        <v>3287</v>
      </c>
      <c r="S96" s="238">
        <v>1927</v>
      </c>
    </row>
    <row r="97" spans="1:19">
      <c r="A97" s="12" t="s">
        <v>340</v>
      </c>
      <c r="D97" s="352" t="s">
        <v>336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>
        <v>-98</v>
      </c>
      <c r="P97" s="346">
        <v>-2102</v>
      </c>
      <c r="Q97" s="346">
        <v>-1626</v>
      </c>
      <c r="R97" s="346">
        <v>-1150</v>
      </c>
      <c r="S97" s="238">
        <v>-674</v>
      </c>
    </row>
    <row r="98" spans="1:19">
      <c r="A98" s="12" t="s">
        <v>344</v>
      </c>
      <c r="D98" s="352" t="s">
        <v>347</v>
      </c>
      <c r="E98" s="346">
        <v>24</v>
      </c>
      <c r="F98" s="346">
        <v>479</v>
      </c>
      <c r="G98" s="346">
        <v>286</v>
      </c>
      <c r="H98" s="346">
        <v>95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238"/>
    </row>
    <row r="99" spans="1:19">
      <c r="A99" s="12" t="s">
        <v>341</v>
      </c>
      <c r="D99" s="352" t="s">
        <v>348</v>
      </c>
      <c r="E99" s="346">
        <v>-848</v>
      </c>
      <c r="F99" s="346">
        <v>-487</v>
      </c>
      <c r="G99" s="346">
        <v>-245</v>
      </c>
      <c r="H99" s="346">
        <v>-225</v>
      </c>
      <c r="I99" s="346">
        <v>-223</v>
      </c>
      <c r="J99" s="346">
        <v>-248</v>
      </c>
      <c r="K99" s="346">
        <v>-267</v>
      </c>
      <c r="L99" s="346">
        <v>-258</v>
      </c>
      <c r="M99" s="346">
        <v>-232</v>
      </c>
      <c r="N99" s="346">
        <v>-257</v>
      </c>
      <c r="O99" s="346">
        <v>-279</v>
      </c>
      <c r="P99" s="346">
        <f>-248-22</f>
        <v>-270</v>
      </c>
      <c r="Q99" s="346">
        <v>-236</v>
      </c>
      <c r="R99" s="346">
        <v>-363</v>
      </c>
      <c r="S99" s="238">
        <v>-438</v>
      </c>
    </row>
    <row r="100" spans="1:19">
      <c r="A100" s="12" t="s">
        <v>342</v>
      </c>
      <c r="D100" s="352" t="s">
        <v>348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>
        <v>-3060</v>
      </c>
      <c r="O100" s="346">
        <v>-3419</v>
      </c>
      <c r="P100" s="346">
        <v>-3743</v>
      </c>
      <c r="Q100" s="346">
        <v>-2942</v>
      </c>
      <c r="R100" s="346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47">
        <f t="shared" ref="E102:M102" si="24">SUM(E76:E100)</f>
        <v>-80657</v>
      </c>
      <c r="F102" s="347">
        <f t="shared" si="24"/>
        <v>-64763</v>
      </c>
      <c r="G102" s="347">
        <f t="shared" si="24"/>
        <v>22356</v>
      </c>
      <c r="H102" s="347">
        <f t="shared" si="24"/>
        <v>21841</v>
      </c>
      <c r="I102" s="347">
        <f t="shared" si="24"/>
        <v>20255</v>
      </c>
      <c r="J102" s="347">
        <f t="shared" si="24"/>
        <v>20751</v>
      </c>
      <c r="K102" s="347">
        <f t="shared" si="24"/>
        <v>18799</v>
      </c>
      <c r="L102" s="347">
        <f t="shared" si="24"/>
        <v>21020</v>
      </c>
      <c r="M102" s="347">
        <f t="shared" si="24"/>
        <v>19593</v>
      </c>
      <c r="N102" s="347">
        <f t="shared" ref="N102:S102" si="25">SUM(N76:N100)</f>
        <v>17776</v>
      </c>
      <c r="O102" s="347">
        <f t="shared" si="25"/>
        <v>17776</v>
      </c>
      <c r="P102" s="347">
        <f t="shared" si="25"/>
        <v>18845</v>
      </c>
      <c r="Q102" s="347">
        <f t="shared" si="25"/>
        <v>16438</v>
      </c>
      <c r="R102" s="347">
        <f t="shared" si="25"/>
        <v>14761</v>
      </c>
      <c r="S102" s="563">
        <f t="shared" si="25"/>
        <v>10846</v>
      </c>
    </row>
    <row r="103" spans="1:19">
      <c r="A103" s="12" t="s">
        <v>345</v>
      </c>
      <c r="E103" s="347">
        <f>E78+E80+E82+E85+E88+E91+E94+E96+E98</f>
        <v>-86175</v>
      </c>
      <c r="F103" s="347">
        <f t="shared" ref="F103:O103" si="26">F78+F80+F82+F85+F88+F91+F94+F96+F98</f>
        <v>-77770</v>
      </c>
      <c r="G103" s="347">
        <f t="shared" si="26"/>
        <v>53521</v>
      </c>
      <c r="H103" s="347">
        <f t="shared" si="26"/>
        <v>53601</v>
      </c>
      <c r="I103" s="347">
        <f t="shared" si="26"/>
        <v>53340</v>
      </c>
      <c r="J103" s="347">
        <f t="shared" si="26"/>
        <v>53419</v>
      </c>
      <c r="K103" s="347">
        <f t="shared" si="26"/>
        <v>53490</v>
      </c>
      <c r="L103" s="347">
        <f t="shared" si="26"/>
        <v>67386</v>
      </c>
      <c r="M103" s="347">
        <f t="shared" si="26"/>
        <v>67317</v>
      </c>
      <c r="N103" s="347">
        <f t="shared" si="26"/>
        <v>73409</v>
      </c>
      <c r="O103" s="347">
        <f t="shared" si="26"/>
        <v>74943</v>
      </c>
      <c r="P103" s="347"/>
      <c r="Q103" s="347"/>
      <c r="R103" s="347"/>
      <c r="S103" s="563"/>
    </row>
    <row r="104" spans="1:19">
      <c r="A104" s="12" t="s">
        <v>346</v>
      </c>
      <c r="E104" s="347">
        <f>E99+E100</f>
        <v>-848</v>
      </c>
      <c r="F104" s="347">
        <f t="shared" ref="F104:O104" si="27">F99+F100</f>
        <v>-487</v>
      </c>
      <c r="G104" s="347">
        <f t="shared" si="27"/>
        <v>-245</v>
      </c>
      <c r="H104" s="347">
        <f t="shared" si="27"/>
        <v>-225</v>
      </c>
      <c r="I104" s="347">
        <f t="shared" si="27"/>
        <v>-223</v>
      </c>
      <c r="J104" s="347">
        <f t="shared" si="27"/>
        <v>-248</v>
      </c>
      <c r="K104" s="347">
        <f t="shared" si="27"/>
        <v>-267</v>
      </c>
      <c r="L104" s="347">
        <f t="shared" si="27"/>
        <v>-258</v>
      </c>
      <c r="M104" s="347">
        <f t="shared" si="27"/>
        <v>-232</v>
      </c>
      <c r="N104" s="347">
        <f t="shared" si="27"/>
        <v>-3317</v>
      </c>
      <c r="O104" s="347">
        <f t="shared" si="27"/>
        <v>-3698</v>
      </c>
      <c r="P104" s="347"/>
      <c r="Q104" s="347"/>
      <c r="R104" s="347"/>
      <c r="S104" s="563"/>
    </row>
    <row r="105" spans="1:19">
      <c r="A105" s="12" t="s">
        <v>334</v>
      </c>
      <c r="E105" s="347">
        <f>E79+E81+E83+E86+E89+E92</f>
        <v>6337</v>
      </c>
      <c r="F105" s="347">
        <f t="shared" ref="F105:O105" si="28">F79+F81+F83+F86+F89+F92</f>
        <v>13436</v>
      </c>
      <c r="G105" s="347">
        <f t="shared" si="28"/>
        <v>-27242</v>
      </c>
      <c r="H105" s="347">
        <f t="shared" si="28"/>
        <v>-27706</v>
      </c>
      <c r="I105" s="347">
        <f t="shared" si="28"/>
        <v>-28576</v>
      </c>
      <c r="J105" s="347">
        <f t="shared" si="28"/>
        <v>-28288</v>
      </c>
      <c r="K105" s="347">
        <f t="shared" si="28"/>
        <v>-30083</v>
      </c>
      <c r="L105" s="347">
        <f t="shared" si="28"/>
        <v>-41013</v>
      </c>
      <c r="M105" s="347">
        <f t="shared" si="28"/>
        <v>-42866</v>
      </c>
      <c r="N105" s="347">
        <f t="shared" si="28"/>
        <v>-46289</v>
      </c>
      <c r="O105" s="347">
        <f t="shared" si="28"/>
        <v>-47236</v>
      </c>
      <c r="P105" s="347"/>
      <c r="Q105" s="347"/>
      <c r="R105" s="347"/>
      <c r="S105" s="563"/>
    </row>
    <row r="106" spans="1:19">
      <c r="A106" s="12" t="s">
        <v>336</v>
      </c>
      <c r="E106" s="347">
        <f>E77+E84+E87+E90+E93+E95+E97</f>
        <v>1529</v>
      </c>
      <c r="F106" s="347">
        <f t="shared" ref="F106:O106" si="29">F77+F84+F87+F90+F93+F95+F97</f>
        <v>1428</v>
      </c>
      <c r="G106" s="347">
        <f t="shared" si="29"/>
        <v>-2440</v>
      </c>
      <c r="H106" s="347">
        <f t="shared" si="29"/>
        <v>-2723</v>
      </c>
      <c r="I106" s="347">
        <f t="shared" si="29"/>
        <v>-3571</v>
      </c>
      <c r="J106" s="347">
        <f t="shared" si="29"/>
        <v>-3289</v>
      </c>
      <c r="K106" s="347">
        <f t="shared" si="29"/>
        <v>-3888</v>
      </c>
      <c r="L106" s="347">
        <f t="shared" si="29"/>
        <v>-4513</v>
      </c>
      <c r="M106" s="347">
        <f t="shared" si="29"/>
        <v>-4175</v>
      </c>
      <c r="N106" s="347">
        <f t="shared" si="29"/>
        <v>-5705</v>
      </c>
      <c r="O106" s="347">
        <f t="shared" si="29"/>
        <v>-6106</v>
      </c>
      <c r="P106" s="347"/>
      <c r="Q106" s="347"/>
      <c r="R106" s="347"/>
      <c r="S106" s="563"/>
    </row>
    <row r="107" spans="1:19">
      <c r="A107" s="12" t="s">
        <v>239</v>
      </c>
      <c r="E107" s="347">
        <f t="shared" ref="E107" si="30">E76</f>
        <v>-1500</v>
      </c>
      <c r="F107" s="347">
        <f t="shared" ref="F107:O107" si="31">F76</f>
        <v>-1370</v>
      </c>
      <c r="G107" s="347">
        <f t="shared" si="31"/>
        <v>-1238</v>
      </c>
      <c r="H107" s="347">
        <f t="shared" si="31"/>
        <v>-1106</v>
      </c>
      <c r="I107" s="347">
        <f t="shared" si="31"/>
        <v>-715</v>
      </c>
      <c r="J107" s="347">
        <f t="shared" si="31"/>
        <v>-843</v>
      </c>
      <c r="K107" s="347">
        <f t="shared" si="31"/>
        <v>-453</v>
      </c>
      <c r="L107" s="347">
        <f t="shared" si="31"/>
        <v>-582</v>
      </c>
      <c r="M107" s="347">
        <f t="shared" si="31"/>
        <v>-451</v>
      </c>
      <c r="N107" s="347">
        <f t="shared" si="31"/>
        <v>-322</v>
      </c>
      <c r="O107" s="347">
        <f t="shared" si="31"/>
        <v>-127</v>
      </c>
      <c r="P107" s="347">
        <f>P69</f>
        <v>32534</v>
      </c>
      <c r="Q107" s="347">
        <f t="shared" ref="Q107" si="32">Q69</f>
        <v>16438</v>
      </c>
      <c r="R107" s="347">
        <f>R69</f>
        <v>14761</v>
      </c>
      <c r="S107" s="563">
        <f>S69</f>
        <v>10846</v>
      </c>
    </row>
    <row r="108" spans="1:19">
      <c r="S108" s="236"/>
    </row>
    <row r="109" spans="1:19">
      <c r="O109" s="352" t="s">
        <v>495</v>
      </c>
      <c r="P109" s="347">
        <f>P102-P107</f>
        <v>-13689</v>
      </c>
      <c r="S109" s="236"/>
    </row>
    <row r="110" spans="1:19">
      <c r="O110" s="352" t="s">
        <v>496</v>
      </c>
      <c r="P110" s="347">
        <f>-P109</f>
        <v>13689</v>
      </c>
      <c r="S110" s="236"/>
    </row>
    <row r="111" spans="1:19">
      <c r="P111" s="347"/>
      <c r="Q111" s="347"/>
      <c r="R111" s="347"/>
      <c r="S111" s="347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36" t="s">
        <v>608</v>
      </c>
      <c r="W7" s="536"/>
      <c r="X7" s="53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38">
        <v>2004</v>
      </c>
      <c r="N7" s="547">
        <v>2005</v>
      </c>
      <c r="O7" s="538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53" t="s">
        <v>608</v>
      </c>
      <c r="W7" s="553"/>
      <c r="X7" s="67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39" t="s">
        <v>92</v>
      </c>
      <c r="N8" s="548" t="s">
        <v>92</v>
      </c>
      <c r="O8" s="539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40" t="s">
        <v>235</v>
      </c>
      <c r="N9" s="549" t="s">
        <v>235</v>
      </c>
      <c r="O9" s="540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37"/>
      <c r="O10" s="537"/>
    </row>
    <row r="11" spans="1:24">
      <c r="A11" s="158"/>
      <c r="B11" s="156" t="s">
        <v>86</v>
      </c>
      <c r="E11" s="158"/>
      <c r="F11" s="156" t="s">
        <v>86</v>
      </c>
      <c r="M11" s="537"/>
      <c r="O11" s="537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48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41">
        <f>M24/$H12</f>
        <v>7504.2971533978953</v>
      </c>
      <c r="N12" s="550">
        <f t="shared" ref="N12:T12" si="0">N24/$D12</f>
        <v>9829.3372421735949</v>
      </c>
      <c r="O12" s="541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41"/>
      <c r="N13" s="550"/>
      <c r="O13" s="541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42"/>
      <c r="N14" s="551"/>
      <c r="O14" s="542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41">
        <f>SUM(M12:M14)</f>
        <v>7504.2971533978953</v>
      </c>
      <c r="N15" s="550">
        <f t="shared" ref="N15:T15" si="2">SUM(N12:N14)</f>
        <v>9829.3372421735949</v>
      </c>
      <c r="O15" s="541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42"/>
      <c r="N16" s="551"/>
      <c r="O16" s="542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41">
        <f>M15+M16</f>
        <v>7504.2971533978953</v>
      </c>
      <c r="N17" s="550">
        <f t="shared" ref="N17:T17" si="4">N15+N16</f>
        <v>9829.3372421735949</v>
      </c>
      <c r="O17" s="541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41"/>
      <c r="N18" s="550"/>
      <c r="O18" s="541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41"/>
      <c r="N19" s="550"/>
      <c r="O19" s="541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41"/>
      <c r="N20" s="550"/>
      <c r="O20" s="541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41"/>
      <c r="N21" s="550"/>
      <c r="O21" s="541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41"/>
      <c r="N22" s="550"/>
      <c r="O22" s="541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41"/>
      <c r="N23" s="550"/>
      <c r="O23" s="541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41">
        <v>7160</v>
      </c>
      <c r="N24" s="550">
        <v>9388</v>
      </c>
      <c r="O24" s="541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42"/>
      <c r="N25" s="551"/>
      <c r="O25" s="542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41">
        <f>SUM(M21:M25)</f>
        <v>7160</v>
      </c>
      <c r="N26" s="550">
        <f t="shared" ref="N26:T26" si="6">SUM(N21:N25)</f>
        <v>9388</v>
      </c>
      <c r="O26" s="541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41"/>
      <c r="N27" s="550"/>
      <c r="O27" s="541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41"/>
      <c r="N28" s="550"/>
      <c r="O28" s="541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41"/>
      <c r="N29" s="550"/>
      <c r="O29" s="541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41"/>
      <c r="N30" s="550"/>
      <c r="O30" s="541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42">
        <f>M12*$H31</f>
        <v>289.1180564289607</v>
      </c>
      <c r="N31" s="551">
        <f t="shared" ref="N31:U31" si="8">N12*$D31</f>
        <v>379.03890273269815</v>
      </c>
      <c r="O31" s="542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41">
        <f>SUM(M29:M31)</f>
        <v>289.1180564289607</v>
      </c>
      <c r="N32" s="550">
        <f t="shared" ref="N32:T32" si="9">SUM(N29:N31)</f>
        <v>379.03890273269815</v>
      </c>
      <c r="O32" s="541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41"/>
      <c r="N33" s="550"/>
      <c r="O33" s="541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41">
        <f>M12*$H34</f>
        <v>40.170502662138937</v>
      </c>
      <c r="N34" s="550">
        <f t="shared" ref="N34:S34" si="11">N12*$D34</f>
        <v>42.639664956549055</v>
      </c>
      <c r="O34" s="541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41"/>
      <c r="N35" s="550"/>
      <c r="O35" s="541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41"/>
      <c r="N36" s="550"/>
      <c r="O36" s="541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41"/>
      <c r="N37" s="550"/>
      <c r="O37" s="541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41"/>
      <c r="N38" s="550"/>
      <c r="O38" s="541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41">
        <f>M12*$H39</f>
        <v>15.008594306795791</v>
      </c>
      <c r="N39" s="550">
        <f t="shared" ref="N39:T39" si="12">N12*$D39</f>
        <v>19.658674484347191</v>
      </c>
      <c r="O39" s="541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41"/>
      <c r="N40" s="550"/>
      <c r="O40" s="541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42"/>
      <c r="N41" s="551"/>
      <c r="O41" s="542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43">
        <f>SUM(M39:M41)</f>
        <v>15.008594306795791</v>
      </c>
      <c r="N42" s="552">
        <f t="shared" ref="N42:T42" si="14">SUM(N39:N41)</f>
        <v>19.658674484347191</v>
      </c>
      <c r="O42" s="543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43">
        <f>M26+M32+M34+M35+M36+M42</f>
        <v>7504.2971533978962</v>
      </c>
      <c r="N43" s="552">
        <f t="shared" ref="N43:S43" si="16">N26+N32+N34+N35+N36+N42</f>
        <v>9829.3372421735949</v>
      </c>
      <c r="O43" s="543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41"/>
      <c r="N44" s="550"/>
      <c r="O44" s="541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41">
        <f>M17-M43</f>
        <v>0</v>
      </c>
      <c r="N45" s="550">
        <f t="shared" ref="N45:T45" si="17">N17-N43</f>
        <v>0</v>
      </c>
      <c r="O45" s="541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41"/>
      <c r="N46" s="550"/>
      <c r="O46" s="541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41"/>
      <c r="N47" s="550"/>
      <c r="O47" s="541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41">
        <f>ROUND(0.35*M45,0)</f>
        <v>0</v>
      </c>
      <c r="N48" s="550">
        <f t="shared" ref="N48:T48" si="19">ROUND(0.35*N45,0)</f>
        <v>0</v>
      </c>
      <c r="O48" s="541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41"/>
      <c r="N49" s="550"/>
      <c r="O49" s="541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41"/>
      <c r="N50" s="550"/>
      <c r="O50" s="541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42"/>
      <c r="N51" s="551"/>
      <c r="O51" s="542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41"/>
      <c r="N52" s="550"/>
      <c r="O52" s="541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41">
        <f>M45-M48-M49-M50-M51</f>
        <v>0</v>
      </c>
      <c r="N53" s="550">
        <f t="shared" ref="N53:T53" si="21">N45-N48-N49-N50-N51</f>
        <v>0</v>
      </c>
      <c r="O53" s="541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O23" sqref="O23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00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00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00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00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00"/>
      <c r="F7" s="26"/>
      <c r="G7" s="27"/>
      <c r="K7" s="26"/>
      <c r="O7" s="26"/>
      <c r="T7" s="725" t="s">
        <v>672</v>
      </c>
    </row>
    <row r="8" spans="1:20" s="25" customFormat="1">
      <c r="A8" s="31" t="s">
        <v>90</v>
      </c>
      <c r="B8" s="30"/>
      <c r="C8" s="29"/>
      <c r="D8" s="29" t="s">
        <v>4</v>
      </c>
      <c r="E8" s="400"/>
      <c r="F8" s="401" t="s">
        <v>387</v>
      </c>
      <c r="G8" s="401" t="s">
        <v>388</v>
      </c>
      <c r="H8" s="401" t="s">
        <v>389</v>
      </c>
      <c r="I8" s="401" t="s">
        <v>390</v>
      </c>
      <c r="J8" s="401" t="s">
        <v>391</v>
      </c>
      <c r="K8" s="401" t="s">
        <v>392</v>
      </c>
      <c r="L8" s="401" t="s">
        <v>393</v>
      </c>
      <c r="M8" s="401" t="s">
        <v>394</v>
      </c>
      <c r="N8" s="401" t="s">
        <v>395</v>
      </c>
      <c r="O8" s="401" t="s">
        <v>396</v>
      </c>
      <c r="P8" s="401" t="s">
        <v>397</v>
      </c>
      <c r="Q8" s="401" t="s">
        <v>398</v>
      </c>
      <c r="R8" s="401" t="s">
        <v>399</v>
      </c>
      <c r="S8" s="401" t="s">
        <v>488</v>
      </c>
      <c r="T8" s="401" t="s">
        <v>609</v>
      </c>
    </row>
    <row r="9" spans="1:20" s="76" customFormat="1">
      <c r="B9" s="77" t="s">
        <v>135</v>
      </c>
      <c r="E9" s="400"/>
      <c r="F9" s="79"/>
      <c r="G9" s="80"/>
      <c r="K9" s="78"/>
      <c r="O9" s="79"/>
    </row>
    <row r="10" spans="1:20" s="76" customFormat="1">
      <c r="B10" s="77" t="s">
        <v>136</v>
      </c>
      <c r="E10" s="400"/>
      <c r="F10" s="79"/>
      <c r="G10" s="80"/>
      <c r="K10" s="78"/>
      <c r="O10" s="79"/>
    </row>
    <row r="11" spans="1:20" s="76" customFormat="1">
      <c r="B11" s="77"/>
      <c r="E11" s="400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00"/>
      <c r="F13" s="402">
        <v>242529</v>
      </c>
      <c r="G13" s="402">
        <v>258201</v>
      </c>
      <c r="H13" s="402">
        <v>273318</v>
      </c>
      <c r="I13" s="402">
        <v>283356</v>
      </c>
      <c r="J13" s="402">
        <v>285399</v>
      </c>
      <c r="K13" s="402">
        <v>289216</v>
      </c>
      <c r="L13" s="402">
        <v>321929</v>
      </c>
      <c r="M13" s="402">
        <v>326335</v>
      </c>
      <c r="N13" s="402">
        <v>365425</v>
      </c>
      <c r="O13" s="402">
        <v>402618</v>
      </c>
      <c r="P13" s="402">
        <v>415739.9703632</v>
      </c>
      <c r="Q13" s="402">
        <v>451837</v>
      </c>
      <c r="R13" s="402">
        <v>460195</v>
      </c>
      <c r="S13" s="402">
        <v>468006</v>
      </c>
      <c r="T13" s="402">
        <v>488372</v>
      </c>
    </row>
    <row r="14" spans="1:20" s="22" customFormat="1">
      <c r="A14" s="19">
        <v>2</v>
      </c>
      <c r="B14" s="22" t="s">
        <v>84</v>
      </c>
      <c r="E14" s="400"/>
      <c r="F14" s="403">
        <v>546</v>
      </c>
      <c r="G14" s="403">
        <v>528</v>
      </c>
      <c r="H14" s="403">
        <v>791</v>
      </c>
      <c r="I14" s="403">
        <v>752</v>
      </c>
      <c r="J14" s="403">
        <v>752</v>
      </c>
      <c r="K14" s="403">
        <v>713</v>
      </c>
      <c r="L14" s="403">
        <v>733</v>
      </c>
      <c r="M14" s="403">
        <v>739</v>
      </c>
      <c r="N14" s="403">
        <v>820</v>
      </c>
      <c r="O14" s="403">
        <v>871.54909999999995</v>
      </c>
      <c r="P14" s="403">
        <v>790</v>
      </c>
      <c r="Q14" s="403">
        <v>820</v>
      </c>
      <c r="R14" s="403">
        <v>-113</v>
      </c>
      <c r="S14" s="403">
        <v>884</v>
      </c>
      <c r="T14" s="403">
        <v>922</v>
      </c>
    </row>
    <row r="15" spans="1:20" s="22" customFormat="1">
      <c r="A15" s="19">
        <v>3</v>
      </c>
      <c r="B15" s="22" t="s">
        <v>83</v>
      </c>
      <c r="E15" s="400"/>
      <c r="F15" s="404">
        <v>137117</v>
      </c>
      <c r="G15" s="404">
        <v>91388</v>
      </c>
      <c r="H15" s="404">
        <v>29918</v>
      </c>
      <c r="I15" s="404">
        <v>35252</v>
      </c>
      <c r="J15" s="404">
        <v>40460</v>
      </c>
      <c r="K15" s="404">
        <v>44718</v>
      </c>
      <c r="L15" s="404">
        <v>35380</v>
      </c>
      <c r="M15" s="404">
        <v>34954</v>
      </c>
      <c r="N15" s="404">
        <v>46848</v>
      </c>
      <c r="O15" s="404">
        <v>31491</v>
      </c>
      <c r="P15" s="404">
        <v>133479</v>
      </c>
      <c r="Q15" s="404">
        <v>52604</v>
      </c>
      <c r="R15" s="404">
        <v>54549</v>
      </c>
      <c r="S15" s="404">
        <v>75349</v>
      </c>
      <c r="T15" s="404">
        <v>60998</v>
      </c>
    </row>
    <row r="16" spans="1:20" s="22" customFormat="1">
      <c r="A16" s="19">
        <v>4</v>
      </c>
      <c r="B16" s="22" t="s">
        <v>82</v>
      </c>
      <c r="E16" s="400"/>
      <c r="F16" s="405">
        <v>380192</v>
      </c>
      <c r="G16" s="405">
        <v>350117</v>
      </c>
      <c r="H16" s="405">
        <v>304027</v>
      </c>
      <c r="I16" s="405">
        <v>319360</v>
      </c>
      <c r="J16" s="405">
        <v>326611</v>
      </c>
      <c r="K16" s="405">
        <v>334647</v>
      </c>
      <c r="L16" s="405">
        <v>358042</v>
      </c>
      <c r="M16" s="405">
        <v>362028</v>
      </c>
      <c r="N16" s="405">
        <v>413093</v>
      </c>
      <c r="O16" s="405">
        <v>434980.5491</v>
      </c>
      <c r="P16" s="405">
        <v>550008.97036319994</v>
      </c>
      <c r="Q16" s="405">
        <v>505261</v>
      </c>
      <c r="R16" s="405">
        <v>514631</v>
      </c>
      <c r="S16" s="405">
        <f>SUM(S13:S15)</f>
        <v>544239</v>
      </c>
      <c r="T16" s="405">
        <f>SUM(T13:T15)</f>
        <v>550292</v>
      </c>
    </row>
    <row r="17" spans="1:21" s="22" customFormat="1">
      <c r="A17" s="19">
        <v>5</v>
      </c>
      <c r="B17" s="22" t="s">
        <v>81</v>
      </c>
      <c r="E17" s="400"/>
      <c r="F17" s="404">
        <v>13062</v>
      </c>
      <c r="G17" s="404">
        <v>14305</v>
      </c>
      <c r="H17" s="404">
        <v>34274</v>
      </c>
      <c r="I17" s="404">
        <v>57244</v>
      </c>
      <c r="J17" s="404">
        <v>8587</v>
      </c>
      <c r="K17" s="404">
        <v>10259</v>
      </c>
      <c r="L17" s="404">
        <v>10178</v>
      </c>
      <c r="M17" s="404">
        <v>10170</v>
      </c>
      <c r="N17" s="404">
        <v>10927</v>
      </c>
      <c r="O17" s="404">
        <v>9395</v>
      </c>
      <c r="P17" s="404">
        <v>11786</v>
      </c>
      <c r="Q17" s="404">
        <v>13666</v>
      </c>
      <c r="R17" s="404">
        <v>13089</v>
      </c>
      <c r="S17" s="404">
        <v>13408</v>
      </c>
      <c r="T17" s="404">
        <v>17163</v>
      </c>
    </row>
    <row r="18" spans="1:21" s="22" customFormat="1">
      <c r="A18" s="19">
        <v>6</v>
      </c>
      <c r="B18" s="22" t="s">
        <v>80</v>
      </c>
      <c r="E18" s="400"/>
      <c r="F18" s="405">
        <v>393254</v>
      </c>
      <c r="G18" s="405">
        <v>364422</v>
      </c>
      <c r="H18" s="405">
        <v>338301</v>
      </c>
      <c r="I18" s="405">
        <v>376604</v>
      </c>
      <c r="J18" s="405">
        <v>335198</v>
      </c>
      <c r="K18" s="405">
        <v>344906</v>
      </c>
      <c r="L18" s="405">
        <v>368220</v>
      </c>
      <c r="M18" s="405">
        <v>372198</v>
      </c>
      <c r="N18" s="405">
        <v>424020</v>
      </c>
      <c r="O18" s="405">
        <v>444375.5491</v>
      </c>
      <c r="P18" s="405">
        <v>561794.97036319994</v>
      </c>
      <c r="Q18" s="405">
        <v>518927</v>
      </c>
      <c r="R18" s="405">
        <v>527720</v>
      </c>
      <c r="S18" s="405">
        <f>SUM(S16:S17)</f>
        <v>557647</v>
      </c>
      <c r="T18" s="405">
        <f>SUM(T16:T17)</f>
        <v>567455</v>
      </c>
    </row>
    <row r="19" spans="1:21" s="22" customFormat="1">
      <c r="A19" s="19"/>
      <c r="E19" s="400"/>
      <c r="F19" s="406"/>
      <c r="G19" s="406"/>
      <c r="H19" s="406"/>
      <c r="I19" s="406"/>
      <c r="J19" s="406"/>
      <c r="K19" s="406"/>
      <c r="L19" s="406"/>
      <c r="M19" s="405"/>
      <c r="N19" s="405"/>
      <c r="O19" s="405"/>
      <c r="P19" s="405"/>
      <c r="Q19" s="405"/>
      <c r="R19" s="405"/>
      <c r="S19" s="405"/>
      <c r="T19" s="405"/>
    </row>
    <row r="20" spans="1:21" s="22" customFormat="1">
      <c r="A20" s="19"/>
      <c r="B20" s="22" t="s">
        <v>79</v>
      </c>
      <c r="E20" s="400"/>
      <c r="F20" s="406"/>
      <c r="G20" s="406"/>
      <c r="H20" s="406"/>
      <c r="I20" s="406"/>
      <c r="J20" s="406"/>
      <c r="K20" s="406"/>
      <c r="L20" s="406"/>
      <c r="M20" s="405"/>
      <c r="N20" s="405"/>
      <c r="O20" s="405"/>
      <c r="P20" s="405"/>
      <c r="Q20" s="405"/>
      <c r="R20" s="405"/>
      <c r="S20" s="405"/>
      <c r="T20" s="405"/>
    </row>
    <row r="21" spans="1:21" s="22" customFormat="1">
      <c r="A21" s="19"/>
      <c r="B21" s="22" t="s">
        <v>78</v>
      </c>
      <c r="E21" s="400"/>
      <c r="F21" s="406"/>
      <c r="G21" s="406"/>
      <c r="H21" s="406"/>
      <c r="I21" s="406"/>
      <c r="J21" s="406"/>
      <c r="K21" s="406"/>
      <c r="L21" s="406"/>
      <c r="M21" s="405"/>
      <c r="N21" s="405"/>
      <c r="O21" s="405"/>
      <c r="P21" s="405"/>
      <c r="Q21" s="405"/>
      <c r="R21" s="405"/>
      <c r="S21" s="405"/>
      <c r="T21" s="405"/>
    </row>
    <row r="22" spans="1:21" s="22" customFormat="1">
      <c r="A22" s="19">
        <v>7</v>
      </c>
      <c r="C22" s="22" t="s">
        <v>70</v>
      </c>
      <c r="E22" s="400"/>
      <c r="F22" s="403">
        <v>78721</v>
      </c>
      <c r="G22" s="403">
        <v>47157</v>
      </c>
      <c r="H22" s="403">
        <v>101475</v>
      </c>
      <c r="I22" s="403">
        <v>132098</v>
      </c>
      <c r="J22" s="403">
        <v>101545</v>
      </c>
      <c r="K22" s="403">
        <v>105374</v>
      </c>
      <c r="L22" s="403">
        <v>104260</v>
      </c>
      <c r="M22" s="403">
        <v>102890</v>
      </c>
      <c r="N22" s="403">
        <v>117123</v>
      </c>
      <c r="O22" s="403">
        <v>87599</v>
      </c>
      <c r="P22" s="403">
        <v>147107</v>
      </c>
      <c r="Q22" s="403">
        <v>145634</v>
      </c>
      <c r="R22" s="403">
        <v>131795</v>
      </c>
      <c r="S22" s="403">
        <v>143904</v>
      </c>
      <c r="T22" s="779">
        <v>120307</v>
      </c>
      <c r="U22" s="780" t="s">
        <v>690</v>
      </c>
    </row>
    <row r="23" spans="1:21" s="22" customFormat="1">
      <c r="A23" s="19">
        <v>8</v>
      </c>
      <c r="C23" s="22" t="s">
        <v>77</v>
      </c>
      <c r="E23" s="400"/>
      <c r="F23" s="403">
        <v>181189</v>
      </c>
      <c r="G23" s="403">
        <v>132159</v>
      </c>
      <c r="H23" s="403">
        <v>50769</v>
      </c>
      <c r="I23" s="403">
        <v>46591</v>
      </c>
      <c r="J23" s="403">
        <v>51042</v>
      </c>
      <c r="K23" s="403">
        <v>55046</v>
      </c>
      <c r="L23" s="403">
        <v>79146</v>
      </c>
      <c r="M23" s="403">
        <v>65640</v>
      </c>
      <c r="N23" s="403">
        <v>72508</v>
      </c>
      <c r="O23" s="779">
        <f>104869-4432</f>
        <v>100437</v>
      </c>
      <c r="P23" s="403">
        <v>142197</v>
      </c>
      <c r="Q23" s="403">
        <v>91142</v>
      </c>
      <c r="R23" s="403">
        <v>101283</v>
      </c>
      <c r="S23" s="403">
        <v>109034</v>
      </c>
      <c r="T23" s="403">
        <v>116643</v>
      </c>
      <c r="U23" s="780" t="s">
        <v>691</v>
      </c>
    </row>
    <row r="24" spans="1:21" s="22" customFormat="1">
      <c r="A24" s="19">
        <v>9</v>
      </c>
      <c r="C24" s="22" t="s">
        <v>137</v>
      </c>
      <c r="E24" s="400"/>
      <c r="F24" s="403">
        <v>-3114</v>
      </c>
      <c r="G24" s="403">
        <v>9152</v>
      </c>
      <c r="H24" s="403">
        <v>13808</v>
      </c>
      <c r="I24" s="403">
        <v>14915</v>
      </c>
      <c r="J24" s="403">
        <v>22879</v>
      </c>
      <c r="K24" s="403">
        <v>13812</v>
      </c>
      <c r="L24" s="403">
        <v>25745</v>
      </c>
      <c r="M24" s="403">
        <v>21795</v>
      </c>
      <c r="N24" s="403">
        <v>22000</v>
      </c>
      <c r="O24" s="403">
        <v>22266</v>
      </c>
      <c r="P24" s="403">
        <v>22129</v>
      </c>
      <c r="Q24" s="403">
        <v>25158</v>
      </c>
      <c r="R24" s="403">
        <v>25872</v>
      </c>
      <c r="S24" s="403">
        <v>23284</v>
      </c>
      <c r="T24" s="403">
        <v>23715</v>
      </c>
    </row>
    <row r="25" spans="1:21" s="22" customFormat="1">
      <c r="A25" s="19">
        <v>10</v>
      </c>
      <c r="C25" s="23" t="s">
        <v>138</v>
      </c>
      <c r="D25" s="23"/>
      <c r="E25" s="400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00"/>
      <c r="F26" s="404">
        <v>9346</v>
      </c>
      <c r="G26" s="404">
        <v>5139</v>
      </c>
      <c r="H26" s="404">
        <v>7164</v>
      </c>
      <c r="I26" s="404">
        <v>6722</v>
      </c>
      <c r="J26" s="404">
        <v>7283</v>
      </c>
      <c r="K26" s="404">
        <v>9900</v>
      </c>
      <c r="L26" s="404">
        <v>9115</v>
      </c>
      <c r="M26" s="404">
        <v>8319</v>
      </c>
      <c r="N26" s="404">
        <v>8146</v>
      </c>
      <c r="O26" s="404">
        <v>9014</v>
      </c>
      <c r="P26" s="404">
        <v>9955</v>
      </c>
      <c r="Q26" s="404">
        <v>10846</v>
      </c>
      <c r="R26" s="404">
        <v>11456</v>
      </c>
      <c r="S26" s="404">
        <v>12913</v>
      </c>
      <c r="T26" s="404">
        <v>12828</v>
      </c>
    </row>
    <row r="27" spans="1:21" s="22" customFormat="1">
      <c r="A27" s="19">
        <v>12</v>
      </c>
      <c r="B27" s="22" t="s">
        <v>76</v>
      </c>
      <c r="E27" s="400"/>
      <c r="F27" s="405">
        <v>266142</v>
      </c>
      <c r="G27" s="405">
        <v>193607</v>
      </c>
      <c r="H27" s="405">
        <v>173216</v>
      </c>
      <c r="I27" s="405">
        <v>200326</v>
      </c>
      <c r="J27" s="405">
        <v>182749</v>
      </c>
      <c r="K27" s="405">
        <v>184132</v>
      </c>
      <c r="L27" s="405">
        <v>218266</v>
      </c>
      <c r="M27" s="405">
        <v>198644</v>
      </c>
      <c r="N27" s="405">
        <v>219777</v>
      </c>
      <c r="O27" s="405">
        <v>223748</v>
      </c>
      <c r="P27" s="405">
        <v>321388</v>
      </c>
      <c r="Q27" s="405">
        <v>273183</v>
      </c>
      <c r="R27" s="405">
        <v>262470</v>
      </c>
      <c r="S27" s="405">
        <f>SUM(S22:S26)</f>
        <v>297764</v>
      </c>
      <c r="T27" s="405">
        <f>SUM(T22:T26)</f>
        <v>281594</v>
      </c>
    </row>
    <row r="28" spans="1:21" s="22" customFormat="1">
      <c r="A28" s="19"/>
      <c r="E28" s="400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</row>
    <row r="29" spans="1:21" s="22" customFormat="1">
      <c r="A29" s="19"/>
      <c r="B29" s="22" t="s">
        <v>56</v>
      </c>
      <c r="E29" s="400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</row>
    <row r="30" spans="1:21" s="22" customFormat="1">
      <c r="A30" s="19">
        <v>13</v>
      </c>
      <c r="C30" s="22" t="s">
        <v>70</v>
      </c>
      <c r="E30" s="400"/>
      <c r="F30" s="403">
        <v>9418</v>
      </c>
      <c r="G30" s="403">
        <v>10560</v>
      </c>
      <c r="H30" s="403">
        <v>9631</v>
      </c>
      <c r="I30" s="403">
        <v>10171</v>
      </c>
      <c r="J30" s="403">
        <v>12016</v>
      </c>
      <c r="K30" s="403">
        <v>14263</v>
      </c>
      <c r="L30" s="403">
        <v>15485</v>
      </c>
      <c r="M30" s="403">
        <v>14563</v>
      </c>
      <c r="N30" s="403">
        <v>17329</v>
      </c>
      <c r="O30" s="403">
        <v>17267</v>
      </c>
      <c r="P30" s="403">
        <v>18354</v>
      </c>
      <c r="Q30" s="403">
        <v>19081</v>
      </c>
      <c r="R30" s="403">
        <v>21152</v>
      </c>
      <c r="S30" s="403">
        <v>20878</v>
      </c>
      <c r="T30" s="403">
        <v>21299</v>
      </c>
    </row>
    <row r="31" spans="1:21" s="22" customFormat="1">
      <c r="A31" s="19">
        <v>14</v>
      </c>
      <c r="C31" s="22" t="s">
        <v>139</v>
      </c>
      <c r="E31" s="400"/>
      <c r="F31" s="403">
        <v>9056</v>
      </c>
      <c r="G31" s="403">
        <v>9178</v>
      </c>
      <c r="H31" s="403">
        <v>9427</v>
      </c>
      <c r="I31" s="403">
        <v>9752</v>
      </c>
      <c r="J31" s="403">
        <v>10067</v>
      </c>
      <c r="K31" s="403">
        <v>10399</v>
      </c>
      <c r="L31" s="403">
        <v>10776</v>
      </c>
      <c r="M31" s="403">
        <v>11333</v>
      </c>
      <c r="N31" s="403">
        <v>15611</v>
      </c>
      <c r="O31" s="403">
        <v>16809</v>
      </c>
      <c r="P31" s="403">
        <v>17985</v>
      </c>
      <c r="Q31" s="403">
        <v>19240</v>
      </c>
      <c r="R31" s="403">
        <v>20749</v>
      </c>
      <c r="S31" s="403">
        <v>22303</v>
      </c>
      <c r="T31" s="403">
        <v>23794</v>
      </c>
    </row>
    <row r="32" spans="1:21" s="22" customFormat="1">
      <c r="A32" s="19">
        <v>15</v>
      </c>
      <c r="C32" s="22" t="s">
        <v>69</v>
      </c>
      <c r="E32" s="400"/>
      <c r="F32" s="404">
        <v>11693</v>
      </c>
      <c r="G32" s="404">
        <v>15462</v>
      </c>
      <c r="H32" s="404">
        <v>16996</v>
      </c>
      <c r="I32" s="404">
        <v>17286</v>
      </c>
      <c r="J32" s="404">
        <v>17401</v>
      </c>
      <c r="K32" s="404">
        <v>14988</v>
      </c>
      <c r="L32" s="404">
        <v>16307</v>
      </c>
      <c r="M32" s="404">
        <v>16156</v>
      </c>
      <c r="N32" s="404">
        <v>17416</v>
      </c>
      <c r="O32" s="404">
        <v>18207</v>
      </c>
      <c r="P32" s="404">
        <v>19990</v>
      </c>
      <c r="Q32" s="404">
        <v>22393.453812</v>
      </c>
      <c r="R32" s="404">
        <v>22594.925350000001</v>
      </c>
      <c r="S32" s="404">
        <v>23288</v>
      </c>
      <c r="T32" s="404">
        <v>25575</v>
      </c>
    </row>
    <row r="33" spans="1:20" s="22" customFormat="1">
      <c r="A33" s="19">
        <v>16</v>
      </c>
      <c r="B33" s="22" t="s">
        <v>75</v>
      </c>
      <c r="E33" s="400"/>
      <c r="F33" s="405">
        <v>30167</v>
      </c>
      <c r="G33" s="405">
        <v>35200</v>
      </c>
      <c r="H33" s="405">
        <v>36054</v>
      </c>
      <c r="I33" s="405">
        <v>37209</v>
      </c>
      <c r="J33" s="405">
        <v>39484</v>
      </c>
      <c r="K33" s="405">
        <v>39650</v>
      </c>
      <c r="L33" s="405">
        <v>42568</v>
      </c>
      <c r="M33" s="405">
        <v>42052</v>
      </c>
      <c r="N33" s="405">
        <v>50356</v>
      </c>
      <c r="O33" s="405">
        <v>52283</v>
      </c>
      <c r="P33" s="405">
        <v>56329</v>
      </c>
      <c r="Q33" s="405">
        <v>60714.453812</v>
      </c>
      <c r="R33" s="405">
        <v>64495.925350000005</v>
      </c>
      <c r="S33" s="405">
        <f>SUM(S30:S32)</f>
        <v>66469</v>
      </c>
      <c r="T33" s="405">
        <f>SUM(T30:T32)</f>
        <v>70668</v>
      </c>
    </row>
    <row r="34" spans="1:20" s="22" customFormat="1">
      <c r="E34" s="400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1:20" s="22" customFormat="1">
      <c r="A35" s="19">
        <v>17</v>
      </c>
      <c r="B35" s="22" t="s">
        <v>74</v>
      </c>
      <c r="E35" s="400"/>
      <c r="F35" s="403">
        <v>5768</v>
      </c>
      <c r="G35" s="403">
        <v>6196</v>
      </c>
      <c r="H35" s="403">
        <v>7113</v>
      </c>
      <c r="I35" s="403">
        <v>7129</v>
      </c>
      <c r="J35" s="403">
        <v>7352</v>
      </c>
      <c r="K35" s="403">
        <v>7156</v>
      </c>
      <c r="L35" s="403">
        <v>7097</v>
      </c>
      <c r="M35" s="403">
        <v>7514</v>
      </c>
      <c r="N35" s="403">
        <v>7919</v>
      </c>
      <c r="O35" s="403">
        <v>9646</v>
      </c>
      <c r="P35" s="403">
        <v>9261</v>
      </c>
      <c r="Q35" s="403">
        <v>10274.701588</v>
      </c>
      <c r="R35" s="403">
        <v>10335.791302</v>
      </c>
      <c r="S35" s="403">
        <v>11334</v>
      </c>
      <c r="T35" s="403">
        <v>11166</v>
      </c>
    </row>
    <row r="36" spans="1:20" s="22" customFormat="1">
      <c r="A36" s="19">
        <v>18</v>
      </c>
      <c r="B36" s="22" t="s">
        <v>73</v>
      </c>
      <c r="E36" s="400"/>
      <c r="F36" s="403">
        <v>5704</v>
      </c>
      <c r="G36" s="403">
        <v>5381</v>
      </c>
      <c r="H36" s="403">
        <v>6261</v>
      </c>
      <c r="I36" s="403">
        <v>6620</v>
      </c>
      <c r="J36" s="403">
        <v>266</v>
      </c>
      <c r="K36" s="403">
        <v>7127</v>
      </c>
      <c r="L36" s="403">
        <v>1159</v>
      </c>
      <c r="M36" s="403">
        <v>7472</v>
      </c>
      <c r="N36" s="403">
        <v>12847</v>
      </c>
      <c r="O36" s="403">
        <v>19736</v>
      </c>
      <c r="P36" s="403">
        <v>20832</v>
      </c>
      <c r="Q36" s="403">
        <v>21292</v>
      </c>
      <c r="R36" s="403">
        <v>18487</v>
      </c>
      <c r="S36" s="403">
        <v>1516</v>
      </c>
      <c r="T36" s="403">
        <v>1383</v>
      </c>
    </row>
    <row r="37" spans="1:20" s="22" customFormat="1">
      <c r="A37" s="19">
        <v>19</v>
      </c>
      <c r="B37" s="22" t="s">
        <v>72</v>
      </c>
      <c r="E37" s="400"/>
      <c r="F37" s="403">
        <v>1071</v>
      </c>
      <c r="G37" s="403">
        <v>734</v>
      </c>
      <c r="H37" s="403">
        <v>628</v>
      </c>
      <c r="I37" s="403">
        <v>734</v>
      </c>
      <c r="J37" s="403">
        <v>686</v>
      </c>
      <c r="K37" s="403">
        <v>430</v>
      </c>
      <c r="L37" s="403">
        <v>657</v>
      </c>
      <c r="M37" s="403">
        <v>682</v>
      </c>
      <c r="N37" s="403">
        <v>571</v>
      </c>
      <c r="O37" s="403">
        <v>660</v>
      </c>
      <c r="P37" s="403">
        <v>176</v>
      </c>
      <c r="Q37" s="403">
        <v>4</v>
      </c>
      <c r="R37" s="403">
        <v>5</v>
      </c>
      <c r="S37" s="403">
        <v>5</v>
      </c>
      <c r="T37" s="403">
        <v>0</v>
      </c>
    </row>
    <row r="38" spans="1:20" s="22" customFormat="1">
      <c r="A38" s="19"/>
      <c r="E38" s="400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</row>
    <row r="39" spans="1:20" s="22" customFormat="1">
      <c r="B39" s="22" t="s">
        <v>71</v>
      </c>
      <c r="E39" s="40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</row>
    <row r="40" spans="1:20" s="22" customFormat="1">
      <c r="A40" s="19">
        <v>20</v>
      </c>
      <c r="C40" s="22" t="s">
        <v>70</v>
      </c>
      <c r="E40" s="400"/>
      <c r="F40" s="403">
        <v>30350</v>
      </c>
      <c r="G40" s="403">
        <v>25102</v>
      </c>
      <c r="H40" s="403">
        <v>30304</v>
      </c>
      <c r="I40" s="403">
        <v>30153</v>
      </c>
      <c r="J40" s="403">
        <v>31927</v>
      </c>
      <c r="K40" s="403">
        <v>33143</v>
      </c>
      <c r="L40" s="403">
        <v>33148</v>
      </c>
      <c r="M40" s="403">
        <v>35844</v>
      </c>
      <c r="N40" s="403">
        <v>35982</v>
      </c>
      <c r="O40" s="403">
        <v>38461</v>
      </c>
      <c r="P40" s="403">
        <v>44662</v>
      </c>
      <c r="Q40" s="403">
        <v>44779.252</v>
      </c>
      <c r="R40" s="403">
        <v>49333.396000000001</v>
      </c>
      <c r="S40" s="403">
        <v>43310</v>
      </c>
      <c r="T40" s="403">
        <v>46210</v>
      </c>
    </row>
    <row r="41" spans="1:20" s="22" customFormat="1">
      <c r="A41" s="19">
        <v>21</v>
      </c>
      <c r="C41" s="22" t="s">
        <v>139</v>
      </c>
      <c r="E41" s="400"/>
      <c r="F41" s="403">
        <v>3998</v>
      </c>
      <c r="G41" s="403">
        <v>4414</v>
      </c>
      <c r="H41" s="403">
        <v>6606</v>
      </c>
      <c r="I41" s="403">
        <v>6659</v>
      </c>
      <c r="J41" s="403">
        <v>6072</v>
      </c>
      <c r="K41" s="403">
        <v>6537</v>
      </c>
      <c r="L41" s="403">
        <v>6459</v>
      </c>
      <c r="M41" s="403">
        <v>6739</v>
      </c>
      <c r="N41" s="403">
        <v>7187</v>
      </c>
      <c r="O41" s="403">
        <v>7688</v>
      </c>
      <c r="P41" s="403">
        <v>9277</v>
      </c>
      <c r="Q41" s="403">
        <v>10906</v>
      </c>
      <c r="R41" s="403">
        <v>12517</v>
      </c>
      <c r="S41" s="403">
        <v>14721</v>
      </c>
      <c r="T41" s="403">
        <v>16947</v>
      </c>
    </row>
    <row r="42" spans="1:20" s="22" customFormat="1">
      <c r="A42" s="81">
        <v>22</v>
      </c>
      <c r="C42" s="22" t="s">
        <v>69</v>
      </c>
      <c r="E42" s="400"/>
      <c r="F42" s="404">
        <v>5</v>
      </c>
      <c r="G42" s="404">
        <v>2</v>
      </c>
      <c r="H42" s="404">
        <v>1</v>
      </c>
      <c r="I42" s="404">
        <v>2</v>
      </c>
      <c r="J42" s="404">
        <v>3</v>
      </c>
      <c r="K42" s="404">
        <v>-4</v>
      </c>
      <c r="L42" s="404">
        <v>0</v>
      </c>
      <c r="M42" s="404">
        <v>-9</v>
      </c>
      <c r="N42" s="404">
        <v>-3</v>
      </c>
      <c r="O42" s="404">
        <v>-3</v>
      </c>
      <c r="P42" s="404">
        <v>2</v>
      </c>
      <c r="Q42" s="404">
        <v>0</v>
      </c>
      <c r="R42" s="404">
        <v>-4</v>
      </c>
      <c r="S42" s="404">
        <v>0</v>
      </c>
      <c r="T42" s="404">
        <v>0</v>
      </c>
    </row>
    <row r="43" spans="1:20" s="22" customFormat="1">
      <c r="A43" s="19">
        <v>23</v>
      </c>
      <c r="B43" s="22" t="s">
        <v>68</v>
      </c>
      <c r="E43" s="400"/>
      <c r="F43" s="407">
        <v>34353</v>
      </c>
      <c r="G43" s="407">
        <v>29518</v>
      </c>
      <c r="H43" s="407">
        <v>36911</v>
      </c>
      <c r="I43" s="407">
        <v>36814</v>
      </c>
      <c r="J43" s="407">
        <v>38002</v>
      </c>
      <c r="K43" s="407">
        <v>39676</v>
      </c>
      <c r="L43" s="407">
        <v>39607</v>
      </c>
      <c r="M43" s="407">
        <v>42574</v>
      </c>
      <c r="N43" s="407">
        <v>43166</v>
      </c>
      <c r="O43" s="407">
        <v>46146</v>
      </c>
      <c r="P43" s="407">
        <v>53941</v>
      </c>
      <c r="Q43" s="407">
        <v>55685.252</v>
      </c>
      <c r="R43" s="407">
        <v>61846.396000000001</v>
      </c>
      <c r="S43" s="407">
        <f>SUM(S40:S42)</f>
        <v>58031</v>
      </c>
      <c r="T43" s="407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00"/>
      <c r="F44" s="407">
        <v>343205</v>
      </c>
      <c r="G44" s="407">
        <v>270636</v>
      </c>
      <c r="H44" s="407">
        <v>260183</v>
      </c>
      <c r="I44" s="407">
        <v>288832</v>
      </c>
      <c r="J44" s="407">
        <v>268539</v>
      </c>
      <c r="K44" s="407">
        <v>278171</v>
      </c>
      <c r="L44" s="407">
        <v>309354</v>
      </c>
      <c r="M44" s="407">
        <v>298938</v>
      </c>
      <c r="N44" s="407">
        <v>334636</v>
      </c>
      <c r="O44" s="407">
        <v>352219</v>
      </c>
      <c r="P44" s="407">
        <v>461927</v>
      </c>
      <c r="Q44" s="407">
        <v>421153.40740000003</v>
      </c>
      <c r="R44" s="407">
        <v>417640.11265200004</v>
      </c>
      <c r="S44" s="407">
        <f>S27+S33+S35+S36+S37+S43</f>
        <v>435119</v>
      </c>
      <c r="T44" s="407">
        <f>T27+T33+T35+T36+T37+T43</f>
        <v>427968</v>
      </c>
    </row>
    <row r="45" spans="1:20" s="22" customFormat="1">
      <c r="E45" s="400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</row>
    <row r="46" spans="1:20" s="22" customFormat="1">
      <c r="A46" s="19">
        <v>25</v>
      </c>
      <c r="B46" s="22" t="s">
        <v>66</v>
      </c>
      <c r="E46" s="400"/>
      <c r="F46" s="402">
        <v>50049</v>
      </c>
      <c r="G46" s="402">
        <v>93786</v>
      </c>
      <c r="H46" s="402">
        <v>78118</v>
      </c>
      <c r="I46" s="402">
        <v>87772</v>
      </c>
      <c r="J46" s="402">
        <v>66659</v>
      </c>
      <c r="K46" s="402">
        <v>66735</v>
      </c>
      <c r="L46" s="402">
        <v>58866</v>
      </c>
      <c r="M46" s="402">
        <v>73260</v>
      </c>
      <c r="N46" s="402">
        <v>89384</v>
      </c>
      <c r="O46" s="402">
        <v>92156.549100000004</v>
      </c>
      <c r="P46" s="402">
        <v>99867.970363199944</v>
      </c>
      <c r="Q46" s="402">
        <v>97773.592599999974</v>
      </c>
      <c r="R46" s="402">
        <v>110079.88734799996</v>
      </c>
      <c r="S46" s="402">
        <f>S18-S44</f>
        <v>122528</v>
      </c>
      <c r="T46" s="402">
        <f>T18-T44</f>
        <v>139487</v>
      </c>
    </row>
    <row r="47" spans="1:20" s="22" customFormat="1">
      <c r="A47" s="19"/>
      <c r="E47" s="40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</row>
    <row r="48" spans="1:20" s="22" customFormat="1">
      <c r="A48" s="21"/>
      <c r="B48" s="22" t="s">
        <v>65</v>
      </c>
      <c r="E48" s="40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</row>
    <row r="49" spans="1:21" s="22" customFormat="1">
      <c r="A49" s="81">
        <v>26</v>
      </c>
      <c r="B49" s="22" t="s">
        <v>140</v>
      </c>
      <c r="D49" s="70"/>
      <c r="E49" s="400"/>
      <c r="F49" s="408">
        <v>13500</v>
      </c>
      <c r="G49" s="408">
        <v>7802.6454399910144</v>
      </c>
      <c r="H49" s="408">
        <v>12532.4934614427</v>
      </c>
      <c r="I49" s="408">
        <v>18199.38094551977</v>
      </c>
      <c r="J49" s="408">
        <v>10602.745932108257</v>
      </c>
      <c r="K49" s="408">
        <v>6760.4768703774607</v>
      </c>
      <c r="L49" s="408">
        <v>3583.5198936206907</v>
      </c>
      <c r="M49" s="408">
        <v>5069.5165750000015</v>
      </c>
      <c r="N49" s="408">
        <v>-6217.1202000000012</v>
      </c>
      <c r="O49" s="408">
        <v>-1846</v>
      </c>
      <c r="P49" s="408">
        <v>9263</v>
      </c>
      <c r="Q49" s="408">
        <v>6568.9074099999998</v>
      </c>
      <c r="R49" s="408">
        <v>11499.260571799998</v>
      </c>
      <c r="S49" s="408">
        <v>19267</v>
      </c>
      <c r="T49" s="408">
        <v>-7683</v>
      </c>
    </row>
    <row r="50" spans="1:21" s="23" customFormat="1">
      <c r="A50" s="19">
        <v>27</v>
      </c>
      <c r="B50" s="23" t="s">
        <v>141</v>
      </c>
      <c r="E50" s="40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>
        <v>206.8288</v>
      </c>
      <c r="R50" s="408">
        <v>70.410550000000001</v>
      </c>
      <c r="S50" s="408">
        <v>1</v>
      </c>
      <c r="T50" s="408">
        <v>-136</v>
      </c>
    </row>
    <row r="51" spans="1:21" s="22" customFormat="1">
      <c r="A51" s="19">
        <v>28</v>
      </c>
      <c r="B51" s="22" t="s">
        <v>64</v>
      </c>
      <c r="E51" s="400"/>
      <c r="F51" s="408">
        <v>3549</v>
      </c>
      <c r="G51" s="408">
        <v>16107</v>
      </c>
      <c r="H51" s="408">
        <v>3470</v>
      </c>
      <c r="I51" s="408">
        <v>1284</v>
      </c>
      <c r="J51" s="408">
        <v>608</v>
      </c>
      <c r="K51" s="408">
        <v>3867</v>
      </c>
      <c r="L51" s="408">
        <v>3975</v>
      </c>
      <c r="M51" s="408">
        <v>6497</v>
      </c>
      <c r="N51" s="408">
        <v>26634</v>
      </c>
      <c r="O51" s="408">
        <v>23983</v>
      </c>
      <c r="P51" s="408">
        <v>13823</v>
      </c>
      <c r="Q51" s="408">
        <v>16402</v>
      </c>
      <c r="R51" s="408">
        <v>15684</v>
      </c>
      <c r="S51" s="408">
        <v>10613</v>
      </c>
      <c r="T51" s="779">
        <v>46085</v>
      </c>
      <c r="U51" s="780" t="s">
        <v>692</v>
      </c>
    </row>
    <row r="52" spans="1:21" s="22" customFormat="1">
      <c r="A52" s="21">
        <v>29</v>
      </c>
      <c r="B52" s="22" t="s">
        <v>63</v>
      </c>
      <c r="E52" s="400"/>
      <c r="F52" s="408"/>
      <c r="G52" s="408"/>
      <c r="H52" s="408"/>
      <c r="I52" s="408"/>
      <c r="J52" s="408"/>
      <c r="K52" s="408"/>
      <c r="L52" s="408"/>
      <c r="M52" s="408"/>
      <c r="N52" s="408"/>
      <c r="O52" s="408">
        <v>-58</v>
      </c>
      <c r="P52" s="408">
        <v>-83</v>
      </c>
      <c r="Q52" s="408">
        <v>-99</v>
      </c>
      <c r="R52" s="408">
        <v>-128</v>
      </c>
      <c r="S52" s="408">
        <v>-130</v>
      </c>
      <c r="T52" s="408">
        <v>-128</v>
      </c>
    </row>
    <row r="53" spans="1:21">
      <c r="B53" s="409" t="s">
        <v>298</v>
      </c>
      <c r="F53" s="408">
        <v>5683</v>
      </c>
      <c r="G53" s="408">
        <v>5369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</row>
    <row r="54" spans="1:21" s="20" customFormat="1" ht="13.8" thickBot="1">
      <c r="A54" s="24">
        <v>30</v>
      </c>
      <c r="B54" s="20" t="s">
        <v>62</v>
      </c>
      <c r="E54" s="400"/>
      <c r="F54" s="410">
        <v>27317</v>
      </c>
      <c r="G54" s="410">
        <v>64507.354560008986</v>
      </c>
      <c r="H54" s="410">
        <v>62115.506538557296</v>
      </c>
      <c r="I54" s="410">
        <v>68288.619054480223</v>
      </c>
      <c r="J54" s="410">
        <v>55448.254067891743</v>
      </c>
      <c r="K54" s="410">
        <v>56107.523129622539</v>
      </c>
      <c r="L54" s="410">
        <v>51307.480106379313</v>
      </c>
      <c r="M54" s="410">
        <v>61693.483424999999</v>
      </c>
      <c r="N54" s="410">
        <v>68967.120200000005</v>
      </c>
      <c r="O54" s="410">
        <v>70077.549100000004</v>
      </c>
      <c r="P54" s="410">
        <v>76864.970363199944</v>
      </c>
      <c r="Q54" s="410">
        <v>74694.856389999972</v>
      </c>
      <c r="R54" s="410">
        <v>82954.216226199962</v>
      </c>
      <c r="S54" s="410">
        <f>S46-S49-S50-S51-S52</f>
        <v>92777</v>
      </c>
      <c r="T54" s="410">
        <f>T46-T49-T50-T51-T52</f>
        <v>101349</v>
      </c>
    </row>
    <row r="55" spans="1:21" ht="13.8" thickTop="1">
      <c r="A55" s="24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</row>
    <row r="56" spans="1:21">
      <c r="A56" s="24"/>
      <c r="B56" s="13" t="s">
        <v>61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</row>
    <row r="57" spans="1:21">
      <c r="B57" s="13" t="s">
        <v>60</v>
      </c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</row>
    <row r="58" spans="1:21" s="20" customFormat="1">
      <c r="A58" s="82">
        <v>31</v>
      </c>
      <c r="C58" s="20" t="s">
        <v>59</v>
      </c>
      <c r="E58" s="400"/>
      <c r="F58" s="402">
        <v>15127</v>
      </c>
      <c r="G58" s="402">
        <v>16340</v>
      </c>
      <c r="H58" s="402">
        <v>20910</v>
      </c>
      <c r="I58" s="402">
        <v>21299</v>
      </c>
      <c r="J58" s="402">
        <v>21374</v>
      </c>
      <c r="K58" s="402">
        <v>22459</v>
      </c>
      <c r="L58" s="402">
        <v>23458</v>
      </c>
      <c r="M58" s="402">
        <v>20632</v>
      </c>
      <c r="N58" s="402">
        <v>23321</v>
      </c>
      <c r="O58" s="402">
        <v>57116</v>
      </c>
      <c r="P58" s="402">
        <v>81955</v>
      </c>
      <c r="Q58" s="402">
        <v>84081</v>
      </c>
      <c r="R58" s="402">
        <v>85247</v>
      </c>
      <c r="S58" s="402">
        <v>91466</v>
      </c>
      <c r="T58" s="402">
        <v>102620</v>
      </c>
    </row>
    <row r="59" spans="1:21" s="22" customFormat="1">
      <c r="A59" s="24">
        <v>32</v>
      </c>
      <c r="C59" s="22" t="s">
        <v>58</v>
      </c>
      <c r="E59" s="400"/>
      <c r="F59" s="408">
        <v>369323</v>
      </c>
      <c r="G59" s="408">
        <v>382522</v>
      </c>
      <c r="H59" s="408">
        <v>598523</v>
      </c>
      <c r="I59" s="408">
        <v>609668</v>
      </c>
      <c r="J59" s="408">
        <v>651608</v>
      </c>
      <c r="K59" s="408">
        <v>669043</v>
      </c>
      <c r="L59" s="408">
        <v>703455</v>
      </c>
      <c r="M59" s="408">
        <v>712962</v>
      </c>
      <c r="N59" s="408">
        <v>724416</v>
      </c>
      <c r="O59" s="408">
        <v>751055</v>
      </c>
      <c r="P59" s="408">
        <v>767632</v>
      </c>
      <c r="Q59" s="408">
        <v>706894</v>
      </c>
      <c r="R59" s="408">
        <v>717448</v>
      </c>
      <c r="S59" s="408">
        <v>738315</v>
      </c>
      <c r="T59" s="408">
        <v>746101</v>
      </c>
    </row>
    <row r="60" spans="1:21" s="22" customFormat="1">
      <c r="A60" s="24">
        <v>33</v>
      </c>
      <c r="C60" s="22" t="s">
        <v>57</v>
      </c>
      <c r="E60" s="400"/>
      <c r="F60" s="408">
        <v>181627</v>
      </c>
      <c r="G60" s="408">
        <v>191517</v>
      </c>
      <c r="H60" s="408">
        <v>186550</v>
      </c>
      <c r="I60" s="408">
        <v>196937</v>
      </c>
      <c r="J60" s="408">
        <v>213539</v>
      </c>
      <c r="K60" s="408">
        <v>224696</v>
      </c>
      <c r="L60" s="408">
        <v>244435</v>
      </c>
      <c r="M60" s="408">
        <v>259532</v>
      </c>
      <c r="N60" s="408">
        <v>289302</v>
      </c>
      <c r="O60" s="408">
        <v>301090</v>
      </c>
      <c r="P60" s="408">
        <v>312505</v>
      </c>
      <c r="Q60" s="408">
        <v>328012</v>
      </c>
      <c r="R60" s="408">
        <v>342382</v>
      </c>
      <c r="S60" s="408">
        <v>359941</v>
      </c>
      <c r="T60" s="408">
        <v>371971</v>
      </c>
    </row>
    <row r="61" spans="1:21" s="22" customFormat="1">
      <c r="A61" s="24">
        <v>34</v>
      </c>
      <c r="C61" s="22" t="s">
        <v>56</v>
      </c>
      <c r="E61" s="400"/>
      <c r="F61" s="408">
        <v>398104</v>
      </c>
      <c r="G61" s="408">
        <v>416427</v>
      </c>
      <c r="H61" s="408">
        <v>429742</v>
      </c>
      <c r="I61" s="408">
        <v>443424</v>
      </c>
      <c r="J61" s="408">
        <v>459516</v>
      </c>
      <c r="K61" s="408">
        <v>480638</v>
      </c>
      <c r="L61" s="408">
        <v>502571</v>
      </c>
      <c r="M61" s="408">
        <v>528809</v>
      </c>
      <c r="N61" s="408">
        <v>561016</v>
      </c>
      <c r="O61" s="408">
        <v>598884</v>
      </c>
      <c r="P61" s="408">
        <v>638445</v>
      </c>
      <c r="Q61" s="408">
        <v>696082</v>
      </c>
      <c r="R61" s="408">
        <v>743732</v>
      </c>
      <c r="S61" s="408">
        <v>796640</v>
      </c>
      <c r="T61" s="408">
        <v>842795</v>
      </c>
    </row>
    <row r="62" spans="1:21" s="22" customFormat="1">
      <c r="A62" s="24">
        <v>35</v>
      </c>
      <c r="C62" s="22" t="s">
        <v>55</v>
      </c>
      <c r="E62" s="400"/>
      <c r="F62" s="408">
        <v>58402</v>
      </c>
      <c r="G62" s="408">
        <v>59846</v>
      </c>
      <c r="H62" s="408">
        <v>59771</v>
      </c>
      <c r="I62" s="408">
        <v>60444</v>
      </c>
      <c r="J62" s="408">
        <v>63155</v>
      </c>
      <c r="K62" s="408">
        <v>65299</v>
      </c>
      <c r="L62" s="408">
        <v>80110</v>
      </c>
      <c r="M62" s="408">
        <v>81368</v>
      </c>
      <c r="N62" s="408">
        <v>91205</v>
      </c>
      <c r="O62" s="408">
        <v>98727</v>
      </c>
      <c r="P62" s="408">
        <v>120996</v>
      </c>
      <c r="Q62" s="408">
        <v>140218</v>
      </c>
      <c r="R62" s="408">
        <v>155104</v>
      </c>
      <c r="S62" s="408">
        <v>179134</v>
      </c>
      <c r="T62" s="408">
        <v>196867</v>
      </c>
    </row>
    <row r="63" spans="1:21" s="22" customFormat="1">
      <c r="A63" s="24">
        <v>36</v>
      </c>
      <c r="B63" s="22" t="s">
        <v>54</v>
      </c>
      <c r="E63" s="400"/>
      <c r="F63" s="411">
        <v>1022583</v>
      </c>
      <c r="G63" s="411">
        <v>1066652</v>
      </c>
      <c r="H63" s="411">
        <v>1295496</v>
      </c>
      <c r="I63" s="411">
        <v>1331772</v>
      </c>
      <c r="J63" s="411">
        <v>1409192</v>
      </c>
      <c r="K63" s="411">
        <v>1462135</v>
      </c>
      <c r="L63" s="411">
        <v>1554029</v>
      </c>
      <c r="M63" s="411">
        <v>1603303</v>
      </c>
      <c r="N63" s="411">
        <v>1689260</v>
      </c>
      <c r="O63" s="411">
        <v>1806872</v>
      </c>
      <c r="P63" s="411">
        <v>1921533</v>
      </c>
      <c r="Q63" s="411">
        <v>1955287</v>
      </c>
      <c r="R63" s="411">
        <v>2043913</v>
      </c>
      <c r="S63" s="411">
        <f>SUM(S58:S62)</f>
        <v>2165496</v>
      </c>
      <c r="T63" s="411">
        <f>SUM(T58:T62)</f>
        <v>2260354</v>
      </c>
    </row>
    <row r="64" spans="1:21" s="22" customFormat="1" ht="18" customHeight="1">
      <c r="A64" s="24"/>
      <c r="B64" s="22" t="s">
        <v>142</v>
      </c>
      <c r="E64" s="400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00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3">
        <v>3744</v>
      </c>
      <c r="R65" s="413">
        <v>4369</v>
      </c>
      <c r="S65" s="413">
        <v>17667</v>
      </c>
      <c r="T65" s="413">
        <v>20242</v>
      </c>
    </row>
    <row r="66" spans="1:20" s="22" customFormat="1">
      <c r="A66" s="24">
        <v>38</v>
      </c>
      <c r="C66" s="22" t="s">
        <v>58</v>
      </c>
      <c r="E66" s="400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3">
        <v>286300</v>
      </c>
      <c r="R66" s="413">
        <v>300170</v>
      </c>
      <c r="S66" s="413">
        <v>314599</v>
      </c>
      <c r="T66" s="413">
        <v>325531</v>
      </c>
    </row>
    <row r="67" spans="1:20" s="22" customFormat="1">
      <c r="A67" s="24">
        <v>39</v>
      </c>
      <c r="C67" s="22" t="s">
        <v>57</v>
      </c>
      <c r="E67" s="400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3">
        <v>111144</v>
      </c>
      <c r="R67" s="413">
        <v>116316</v>
      </c>
      <c r="S67" s="413">
        <v>122308</v>
      </c>
      <c r="T67" s="413">
        <v>123869</v>
      </c>
    </row>
    <row r="68" spans="1:20" s="22" customFormat="1">
      <c r="A68" s="24">
        <v>40</v>
      </c>
      <c r="C68" s="22" t="s">
        <v>56</v>
      </c>
      <c r="E68" s="400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>
        <v>209101</v>
      </c>
      <c r="R68" s="413">
        <v>221408</v>
      </c>
      <c r="S68" s="413">
        <v>236201</v>
      </c>
      <c r="T68" s="413">
        <v>252722</v>
      </c>
    </row>
    <row r="69" spans="1:20" s="22" customFormat="1">
      <c r="A69" s="24">
        <v>41</v>
      </c>
      <c r="C69" s="22" t="s">
        <v>55</v>
      </c>
      <c r="E69" s="400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533">
        <v>56694</v>
      </c>
      <c r="R69" s="533">
        <v>61871</v>
      </c>
      <c r="S69" s="533">
        <v>58357</v>
      </c>
      <c r="T69" s="533">
        <v>65720</v>
      </c>
    </row>
    <row r="70" spans="1:20" s="22" customFormat="1">
      <c r="A70" s="24">
        <v>42</v>
      </c>
      <c r="B70" s="22" t="s">
        <v>143</v>
      </c>
      <c r="E70" s="400"/>
      <c r="F70" s="408">
        <v>348345</v>
      </c>
      <c r="G70" s="408">
        <v>359654</v>
      </c>
      <c r="H70" s="408">
        <v>418593</v>
      </c>
      <c r="I70" s="408">
        <v>450096</v>
      </c>
      <c r="J70" s="408">
        <v>475935</v>
      </c>
      <c r="K70" s="408">
        <v>503194</v>
      </c>
      <c r="L70" s="408">
        <v>536682</v>
      </c>
      <c r="M70" s="408">
        <v>567320</v>
      </c>
      <c r="N70" s="408">
        <v>600292</v>
      </c>
      <c r="O70" s="408">
        <v>632110</v>
      </c>
      <c r="P70" s="408">
        <v>676635</v>
      </c>
      <c r="Q70" s="408">
        <v>666983</v>
      </c>
      <c r="R70" s="408">
        <v>704134</v>
      </c>
      <c r="S70" s="408">
        <f>SUM(S65:S69)</f>
        <v>749132</v>
      </c>
      <c r="T70" s="408">
        <f>SUM(T65:T69)</f>
        <v>788084</v>
      </c>
    </row>
    <row r="71" spans="1:20" s="22" customFormat="1">
      <c r="A71" s="24">
        <v>43</v>
      </c>
      <c r="B71" s="22" t="s">
        <v>144</v>
      </c>
      <c r="E71" s="400"/>
      <c r="F71" s="411">
        <v>674238</v>
      </c>
      <c r="G71" s="411">
        <v>706998</v>
      </c>
      <c r="H71" s="411">
        <v>876903</v>
      </c>
      <c r="I71" s="411">
        <v>881676</v>
      </c>
      <c r="J71" s="411">
        <v>933257</v>
      </c>
      <c r="K71" s="411">
        <v>958941</v>
      </c>
      <c r="L71" s="411">
        <v>1017347</v>
      </c>
      <c r="M71" s="411">
        <v>1035983</v>
      </c>
      <c r="N71" s="411">
        <v>1088968</v>
      </c>
      <c r="O71" s="411">
        <v>1174762</v>
      </c>
      <c r="P71" s="411">
        <v>1244898</v>
      </c>
      <c r="Q71" s="411">
        <v>1288304</v>
      </c>
      <c r="R71" s="411">
        <v>1339779</v>
      </c>
      <c r="S71" s="411">
        <f>S63-S70</f>
        <v>1416364</v>
      </c>
      <c r="T71" s="411">
        <f>T63-T70</f>
        <v>1472270</v>
      </c>
    </row>
    <row r="72" spans="1:20" s="22" customFormat="1" ht="6.75" customHeight="1">
      <c r="A72" s="24"/>
      <c r="E72" s="400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</row>
    <row r="73" spans="1:20" s="22" customFormat="1">
      <c r="A73" s="21">
        <v>44</v>
      </c>
      <c r="B73" s="22" t="s">
        <v>52</v>
      </c>
      <c r="E73" s="400"/>
      <c r="F73" s="408">
        <v>-104246</v>
      </c>
      <c r="G73" s="408">
        <v>-108113</v>
      </c>
      <c r="H73" s="408">
        <v>-113807</v>
      </c>
      <c r="I73" s="408">
        <v>-138127</v>
      </c>
      <c r="J73" s="408">
        <v>-154531</v>
      </c>
      <c r="K73" s="408">
        <v>-138256</v>
      </c>
      <c r="L73" s="408">
        <v>-142383</v>
      </c>
      <c r="M73" s="408">
        <v>-143546</v>
      </c>
      <c r="N73" s="408">
        <v>-151677</v>
      </c>
      <c r="O73" s="408">
        <v>-169421</v>
      </c>
      <c r="P73" s="408">
        <v>-190931</v>
      </c>
      <c r="Q73" s="408">
        <v>-201163</v>
      </c>
      <c r="R73" s="408">
        <v>-208209</v>
      </c>
      <c r="S73" s="408">
        <v>-221354</v>
      </c>
      <c r="T73" s="408">
        <v>-257766</v>
      </c>
    </row>
    <row r="74" spans="1:20" s="22" customFormat="1">
      <c r="A74" s="21">
        <v>45</v>
      </c>
      <c r="C74" s="22" t="s">
        <v>145</v>
      </c>
      <c r="E74" s="400"/>
      <c r="F74" s="411">
        <v>569992</v>
      </c>
      <c r="G74" s="411">
        <v>598885</v>
      </c>
      <c r="H74" s="411">
        <v>763096</v>
      </c>
      <c r="I74" s="411">
        <v>743549</v>
      </c>
      <c r="J74" s="411">
        <v>778726</v>
      </c>
      <c r="K74" s="411">
        <v>820685</v>
      </c>
      <c r="L74" s="411">
        <v>874964</v>
      </c>
      <c r="M74" s="411">
        <v>892437</v>
      </c>
      <c r="N74" s="411">
        <v>937291</v>
      </c>
      <c r="O74" s="411">
        <v>1005341</v>
      </c>
      <c r="P74" s="411">
        <v>1053967</v>
      </c>
      <c r="Q74" s="411">
        <v>1087141</v>
      </c>
      <c r="R74" s="411">
        <v>1131570</v>
      </c>
      <c r="S74" s="411">
        <f>S71+S73</f>
        <v>1195010</v>
      </c>
      <c r="T74" s="411">
        <f>T71+T73</f>
        <v>1214504</v>
      </c>
    </row>
    <row r="75" spans="1:20" s="22" customFormat="1">
      <c r="A75" s="24">
        <v>46</v>
      </c>
      <c r="B75" s="22" t="s">
        <v>146</v>
      </c>
      <c r="E75" s="400"/>
      <c r="F75" s="408">
        <v>-1500</v>
      </c>
      <c r="G75" s="408">
        <v>-1370</v>
      </c>
      <c r="H75" s="408">
        <v>-1238</v>
      </c>
      <c r="I75" s="408">
        <v>-1106</v>
      </c>
      <c r="J75" s="408">
        <v>-715</v>
      </c>
      <c r="K75" s="408">
        <v>-843</v>
      </c>
      <c r="L75" s="408">
        <v>-453</v>
      </c>
      <c r="M75" s="408">
        <v>-582</v>
      </c>
      <c r="N75" s="408">
        <v>-451</v>
      </c>
      <c r="O75" s="408">
        <v>-322</v>
      </c>
      <c r="P75" s="408">
        <v>-127</v>
      </c>
      <c r="Q75" s="408">
        <v>32534</v>
      </c>
      <c r="R75" s="408">
        <v>16438</v>
      </c>
      <c r="S75" s="408">
        <v>14761</v>
      </c>
      <c r="T75" s="408">
        <v>10846</v>
      </c>
    </row>
    <row r="76" spans="1:20" s="22" customFormat="1">
      <c r="A76" s="24">
        <v>47</v>
      </c>
      <c r="B76" s="22" t="s">
        <v>53</v>
      </c>
      <c r="E76" s="400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>
        <v>18188</v>
      </c>
      <c r="Q76" s="408">
        <v>18188</v>
      </c>
      <c r="R76" s="408">
        <v>10967</v>
      </c>
      <c r="S76" s="408">
        <v>16281</v>
      </c>
      <c r="T76" s="408">
        <v>47807</v>
      </c>
    </row>
    <row r="77" spans="1:20" s="22" customFormat="1">
      <c r="A77" s="21"/>
      <c r="E77" s="400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00"/>
      <c r="F78" s="414">
        <v>568492</v>
      </c>
      <c r="G78" s="414">
        <v>597515</v>
      </c>
      <c r="H78" s="414">
        <v>761858</v>
      </c>
      <c r="I78" s="414">
        <v>742443</v>
      </c>
      <c r="J78" s="414">
        <v>778011</v>
      </c>
      <c r="K78" s="414">
        <v>819842</v>
      </c>
      <c r="L78" s="414">
        <v>874511</v>
      </c>
      <c r="M78" s="414">
        <v>891855</v>
      </c>
      <c r="N78" s="414">
        <v>936840</v>
      </c>
      <c r="O78" s="414">
        <v>1005019</v>
      </c>
      <c r="P78" s="414">
        <v>1072028</v>
      </c>
      <c r="Q78" s="414">
        <v>1137863</v>
      </c>
      <c r="R78" s="414">
        <v>1158975</v>
      </c>
      <c r="S78" s="414">
        <f>SUM(S74:S76)</f>
        <v>1226052</v>
      </c>
      <c r="T78" s="414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00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8671875" defaultRowHeight="13.2"/>
  <cols>
    <col min="1" max="1" width="34.6640625" style="400" customWidth="1"/>
    <col min="2" max="3" width="0" style="400" hidden="1" customWidth="1"/>
    <col min="4" max="4" width="5.5546875" style="400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00" customWidth="1"/>
    <col min="19" max="19" width="13.44140625" style="674" customWidth="1"/>
    <col min="20" max="16384" width="8.88671875" style="400"/>
  </cols>
  <sheetData>
    <row r="1" spans="1:20">
      <c r="A1" s="930" t="s">
        <v>6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</row>
    <row r="2" spans="1:20">
      <c r="A2" s="931" t="s">
        <v>7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</row>
    <row r="3" spans="1:20">
      <c r="D3" s="57"/>
    </row>
    <row r="4" spans="1:20">
      <c r="D4" s="57"/>
      <c r="E4" s="932" t="s">
        <v>29</v>
      </c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</row>
    <row r="5" spans="1:20">
      <c r="D5" s="57"/>
      <c r="E5" s="933" t="s">
        <v>294</v>
      </c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S5" s="725" t="s">
        <v>672</v>
      </c>
    </row>
    <row r="6" spans="1:20">
      <c r="D6" s="58"/>
      <c r="E6" s="421">
        <v>2000</v>
      </c>
      <c r="F6" s="339">
        <v>2001</v>
      </c>
      <c r="G6" s="339">
        <v>2002</v>
      </c>
      <c r="H6" s="339">
        <v>2003</v>
      </c>
      <c r="I6" s="339">
        <v>2004</v>
      </c>
      <c r="J6" s="339">
        <v>2005</v>
      </c>
      <c r="K6" s="339">
        <v>2006</v>
      </c>
      <c r="L6" s="339">
        <v>2007</v>
      </c>
      <c r="M6" s="339">
        <v>2008</v>
      </c>
      <c r="N6" s="339">
        <v>2009</v>
      </c>
      <c r="O6" s="339">
        <v>2010</v>
      </c>
      <c r="P6" s="422">
        <v>2011</v>
      </c>
      <c r="Q6" s="422">
        <v>2012</v>
      </c>
      <c r="R6" s="422">
        <v>2013</v>
      </c>
      <c r="S6" s="422">
        <v>2014</v>
      </c>
    </row>
    <row r="7" spans="1:20">
      <c r="A7" s="400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23">
        <v>0.65239999999999998</v>
      </c>
      <c r="Q7" s="423">
        <v>0.65010000000000001</v>
      </c>
      <c r="R7" s="423">
        <v>0.65190000000000003</v>
      </c>
      <c r="S7" s="423">
        <v>0.64710000000000001</v>
      </c>
    </row>
    <row r="8" spans="1:20"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20">
      <c r="A9" s="400" t="s">
        <v>10</v>
      </c>
      <c r="D9" s="59"/>
      <c r="E9" s="340">
        <v>135976.0367</v>
      </c>
      <c r="F9" s="340">
        <v>90880</v>
      </c>
      <c r="G9" s="340">
        <v>31728</v>
      </c>
      <c r="H9" s="340">
        <v>35221</v>
      </c>
      <c r="I9" s="340">
        <v>40439</v>
      </c>
      <c r="J9" s="340">
        <v>44689.546799999996</v>
      </c>
      <c r="K9" s="340">
        <v>35381</v>
      </c>
      <c r="L9" s="340">
        <v>34954</v>
      </c>
      <c r="M9" s="340">
        <v>46849</v>
      </c>
      <c r="N9" s="340">
        <v>30933.259500000004</v>
      </c>
      <c r="O9" s="340">
        <v>132773.274</v>
      </c>
      <c r="P9" s="340">
        <v>52603.011999999995</v>
      </c>
      <c r="Q9" s="340">
        <v>54547.940699999999</v>
      </c>
      <c r="R9" s="340">
        <v>75350</v>
      </c>
      <c r="S9" s="340">
        <f>'12.2014 CB Power Supply'!F11</f>
        <v>60998</v>
      </c>
    </row>
    <row r="10" spans="1:20">
      <c r="A10" s="400" t="s">
        <v>11</v>
      </c>
      <c r="D10" s="60"/>
      <c r="E10" s="341">
        <v>300.2937</v>
      </c>
      <c r="F10" s="341">
        <v>281</v>
      </c>
      <c r="G10" s="341">
        <v>38</v>
      </c>
      <c r="H10" s="341">
        <v>297</v>
      </c>
      <c r="I10" s="341">
        <v>238</v>
      </c>
      <c r="J10" s="341">
        <v>124.85669999999999</v>
      </c>
      <c r="K10" s="341">
        <v>153</v>
      </c>
      <c r="L10" s="341">
        <v>200</v>
      </c>
      <c r="M10" s="341">
        <v>198</v>
      </c>
      <c r="N10" s="341">
        <v>247.15470000000002</v>
      </c>
      <c r="O10" s="341">
        <v>183.75119999999998</v>
      </c>
      <c r="P10" s="341">
        <v>330.76679999999999</v>
      </c>
      <c r="Q10" s="341">
        <v>303.5967</v>
      </c>
      <c r="R10" s="341">
        <v>282</v>
      </c>
      <c r="S10" s="341">
        <f>'12.2014 CB Power Supply'!F12</f>
        <v>307</v>
      </c>
    </row>
    <row r="11" spans="1:20">
      <c r="A11" s="400" t="s">
        <v>12</v>
      </c>
      <c r="D11" s="60"/>
      <c r="E11" s="341">
        <v>43.751400000000004</v>
      </c>
      <c r="F11" s="341">
        <v>0</v>
      </c>
      <c r="G11" s="341">
        <v>30</v>
      </c>
      <c r="H11" s="341">
        <v>16</v>
      </c>
      <c r="I11" s="341">
        <v>16</v>
      </c>
      <c r="J11" s="341">
        <v>12.420299999999999</v>
      </c>
      <c r="K11" s="341">
        <v>14</v>
      </c>
      <c r="L11" s="341">
        <v>14</v>
      </c>
      <c r="M11" s="341">
        <v>16</v>
      </c>
      <c r="N11" s="341">
        <v>18.8123</v>
      </c>
      <c r="O11" s="341">
        <v>0</v>
      </c>
      <c r="P11" s="341">
        <v>0</v>
      </c>
      <c r="Q11" s="341">
        <v>0</v>
      </c>
      <c r="R11" s="341">
        <v>0</v>
      </c>
      <c r="S11" s="341">
        <f>'12.2014 CB Power Supply'!F13</f>
        <v>0</v>
      </c>
    </row>
    <row r="12" spans="1:20">
      <c r="A12" s="556" t="s">
        <v>13</v>
      </c>
      <c r="D12" s="62"/>
      <c r="E12" s="450">
        <v>10967.6805</v>
      </c>
      <c r="F12" s="450">
        <v>11862</v>
      </c>
      <c r="G12" s="450">
        <v>25225</v>
      </c>
      <c r="H12" s="450">
        <v>46826</v>
      </c>
      <c r="I12" s="450">
        <v>31</v>
      </c>
      <c r="J12" s="450">
        <v>41.836799999999997</v>
      </c>
      <c r="K12" s="450">
        <v>31</v>
      </c>
      <c r="L12" s="450">
        <v>7</v>
      </c>
      <c r="M12" s="450">
        <v>2</v>
      </c>
      <c r="N12" s="450">
        <v>93.412800000000004</v>
      </c>
      <c r="O12" s="450">
        <v>456.11999999999995</v>
      </c>
      <c r="P12" s="450">
        <v>1420.9271999999999</v>
      </c>
      <c r="Q12" s="450">
        <v>1122.7227</v>
      </c>
      <c r="R12" s="450">
        <v>0</v>
      </c>
      <c r="S12" s="450">
        <f>'12.2014 CB Power Supply'!F17</f>
        <v>2592</v>
      </c>
      <c r="T12" s="680" t="s">
        <v>671</v>
      </c>
    </row>
    <row r="13" spans="1:20" s="446" customFormat="1">
      <c r="A13" s="446" t="s">
        <v>404</v>
      </c>
      <c r="D13" s="62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>
        <v>63</v>
      </c>
      <c r="R13" s="450">
        <v>0</v>
      </c>
      <c r="S13" s="450">
        <f>'12.2014 CB Power Supply'!F18</f>
        <v>163</v>
      </c>
      <c r="T13" s="680" t="s">
        <v>671</v>
      </c>
    </row>
    <row r="14" spans="1:20">
      <c r="A14" s="400" t="s">
        <v>14</v>
      </c>
      <c r="D14" s="62"/>
      <c r="E14" s="451">
        <f>SUM(E9:E12)</f>
        <v>147287.7623</v>
      </c>
      <c r="F14" s="451">
        <f t="shared" ref="F14:Q14" si="0">SUM(F9:F12)</f>
        <v>103023</v>
      </c>
      <c r="G14" s="451">
        <f t="shared" si="0"/>
        <v>57021</v>
      </c>
      <c r="H14" s="451">
        <f t="shared" si="0"/>
        <v>82360</v>
      </c>
      <c r="I14" s="451">
        <f t="shared" si="0"/>
        <v>40724</v>
      </c>
      <c r="J14" s="451">
        <f t="shared" si="0"/>
        <v>44868.660599999988</v>
      </c>
      <c r="K14" s="451">
        <f t="shared" si="0"/>
        <v>35579</v>
      </c>
      <c r="L14" s="451">
        <f t="shared" si="0"/>
        <v>35175</v>
      </c>
      <c r="M14" s="451">
        <f t="shared" si="0"/>
        <v>47065</v>
      </c>
      <c r="N14" s="451">
        <f t="shared" si="0"/>
        <v>31292.639300000003</v>
      </c>
      <c r="O14" s="451">
        <f t="shared" si="0"/>
        <v>133413.1452</v>
      </c>
      <c r="P14" s="451">
        <f t="shared" si="0"/>
        <v>54354.705999999991</v>
      </c>
      <c r="Q14" s="451">
        <f t="shared" si="0"/>
        <v>55974.2601</v>
      </c>
      <c r="R14" s="451">
        <f>SUM(R9:R13)</f>
        <v>75632</v>
      </c>
      <c r="S14" s="451">
        <f>SUM(S9:S13)</f>
        <v>64060</v>
      </c>
    </row>
    <row r="15" spans="1:20">
      <c r="D15" s="6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20">
      <c r="D16" s="6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25">
      <c r="A17" s="400" t="s">
        <v>15</v>
      </c>
      <c r="D17" s="62"/>
      <c r="E17" s="341">
        <v>18358.352600000002</v>
      </c>
      <c r="F17" s="341">
        <v>10164</v>
      </c>
      <c r="G17" s="341">
        <v>9430</v>
      </c>
      <c r="H17" s="341">
        <v>12014</v>
      </c>
      <c r="I17" s="341">
        <v>12358</v>
      </c>
      <c r="J17" s="341">
        <v>12956.9877</v>
      </c>
      <c r="K17" s="341">
        <v>15914</v>
      </c>
      <c r="L17" s="341">
        <v>16710</v>
      </c>
      <c r="M17" s="341">
        <v>18086</v>
      </c>
      <c r="N17" s="341">
        <v>16203.228600000002</v>
      </c>
      <c r="O17" s="341">
        <v>19974.797999999999</v>
      </c>
      <c r="P17" s="341">
        <v>21546.8148</v>
      </c>
      <c r="Q17" s="341">
        <v>16459.231800000001</v>
      </c>
      <c r="R17" s="341">
        <v>18925</v>
      </c>
      <c r="S17" s="341">
        <f>'12.2014 CB Power Supply'!F22</f>
        <v>17743</v>
      </c>
    </row>
    <row r="18" spans="1:25">
      <c r="A18" s="400" t="s">
        <v>16</v>
      </c>
      <c r="D18" s="62"/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f>'12.2014 CB Power Supply'!F23</f>
        <v>0</v>
      </c>
    </row>
    <row r="19" spans="1:25">
      <c r="A19" s="400" t="s">
        <v>17</v>
      </c>
      <c r="D19" s="62"/>
      <c r="E19" s="341">
        <v>23060.302300000003</v>
      </c>
      <c r="F19" s="341">
        <v>3582</v>
      </c>
      <c r="G19" s="341">
        <v>8111</v>
      </c>
      <c r="H19" s="341">
        <v>15447</v>
      </c>
      <c r="I19" s="341">
        <v>45629</v>
      </c>
      <c r="J19" s="341">
        <v>55227.190799999997</v>
      </c>
      <c r="K19" s="341">
        <v>47155</v>
      </c>
      <c r="L19" s="341">
        <v>43656</v>
      </c>
      <c r="M19" s="341">
        <v>52704</v>
      </c>
      <c r="N19" s="341">
        <v>15927.531100000002</v>
      </c>
      <c r="O19" s="341">
        <v>74448.55799999999</v>
      </c>
      <c r="P19" s="341">
        <v>62923.979999999996</v>
      </c>
      <c r="Q19" s="341">
        <v>50012.192999999999</v>
      </c>
      <c r="R19" s="341">
        <v>60338</v>
      </c>
      <c r="S19" s="341">
        <f>'12.2014 CB Power Supply'!F24</f>
        <v>36097</v>
      </c>
    </row>
    <row r="20" spans="1:25">
      <c r="A20" s="400" t="s">
        <v>18</v>
      </c>
      <c r="D20" s="62"/>
      <c r="E20" s="341">
        <v>548.88120000000004</v>
      </c>
      <c r="F20" s="341">
        <v>528</v>
      </c>
      <c r="G20" s="341">
        <v>392</v>
      </c>
      <c r="H20" s="341">
        <v>528</v>
      </c>
      <c r="I20" s="341">
        <v>490</v>
      </c>
      <c r="J20" s="341">
        <v>497.46569999999997</v>
      </c>
      <c r="K20" s="341">
        <v>450</v>
      </c>
      <c r="L20" s="341">
        <v>420</v>
      </c>
      <c r="M20" s="341">
        <v>421</v>
      </c>
      <c r="N20" s="341">
        <v>464.46920000000006</v>
      </c>
      <c r="O20" s="341">
        <v>555.81479999999999</v>
      </c>
      <c r="P20" s="341">
        <v>635.43759999999997</v>
      </c>
      <c r="Q20" s="341">
        <v>673.50360000000001</v>
      </c>
      <c r="R20" s="341">
        <v>671</v>
      </c>
      <c r="S20" s="341">
        <f>'12.2014 CB Power Supply'!F25</f>
        <v>636</v>
      </c>
    </row>
    <row r="21" spans="1:25">
      <c r="A21" s="400" t="s">
        <v>19</v>
      </c>
      <c r="D21" s="62"/>
      <c r="E21" s="341">
        <v>180040.32550000001</v>
      </c>
      <c r="F21" s="341">
        <v>131649</v>
      </c>
      <c r="G21" s="341">
        <v>50729</v>
      </c>
      <c r="H21" s="341">
        <v>53591</v>
      </c>
      <c r="I21" s="341">
        <v>51029</v>
      </c>
      <c r="J21" s="341">
        <v>55379.502899999992</v>
      </c>
      <c r="K21" s="341">
        <v>79145</v>
      </c>
      <c r="L21" s="341">
        <v>65642</v>
      </c>
      <c r="M21" s="341">
        <v>72581</v>
      </c>
      <c r="N21" s="341">
        <v>104870.13940000001</v>
      </c>
      <c r="O21" s="341">
        <v>142281.42119999998</v>
      </c>
      <c r="P21" s="341">
        <v>91141.584799999997</v>
      </c>
      <c r="Q21" s="341">
        <v>101282.32950000001</v>
      </c>
      <c r="R21" s="341">
        <v>109035</v>
      </c>
      <c r="S21" s="341">
        <f>'12.2014 CB Power Supply'!F26</f>
        <v>116641</v>
      </c>
    </row>
    <row r="22" spans="1:25">
      <c r="A22" s="400" t="s">
        <v>20</v>
      </c>
      <c r="D22" s="62"/>
      <c r="E22" s="341">
        <v>0</v>
      </c>
      <c r="F22" s="341">
        <v>0</v>
      </c>
      <c r="G22" s="341">
        <v>85</v>
      </c>
      <c r="H22" s="341">
        <v>87</v>
      </c>
      <c r="I22" s="341">
        <v>87</v>
      </c>
      <c r="J22" s="341">
        <v>86.942099999999996</v>
      </c>
      <c r="K22" s="341">
        <v>115</v>
      </c>
      <c r="L22" s="341">
        <v>100</v>
      </c>
      <c r="M22" s="341">
        <v>113</v>
      </c>
      <c r="N22" s="341">
        <v>103.792</v>
      </c>
      <c r="O22" s="341">
        <v>104.256</v>
      </c>
      <c r="P22" s="341">
        <v>104.384</v>
      </c>
      <c r="Q22" s="341">
        <v>104.01600000000001</v>
      </c>
      <c r="R22" s="341">
        <v>104</v>
      </c>
      <c r="S22" s="341">
        <f>'12.2014 CB Power Supply'!F27</f>
        <v>0</v>
      </c>
    </row>
    <row r="23" spans="1:25">
      <c r="A23" s="400" t="s">
        <v>21</v>
      </c>
      <c r="D23" s="62"/>
      <c r="E23" s="341">
        <v>3013.5434</v>
      </c>
      <c r="F23" s="341">
        <v>3056</v>
      </c>
      <c r="G23" s="341">
        <v>3059</v>
      </c>
      <c r="H23" s="341">
        <v>3066</v>
      </c>
      <c r="I23" s="341">
        <v>4385</v>
      </c>
      <c r="J23" s="341">
        <v>2320.6349999999998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f>'12.2014 CB Power Supply'!F28</f>
        <v>0</v>
      </c>
    </row>
    <row r="24" spans="1:25">
      <c r="A24" s="400" t="s">
        <v>22</v>
      </c>
      <c r="D24" s="62"/>
      <c r="E24" s="341">
        <v>109.3785</v>
      </c>
      <c r="F24" s="341">
        <v>171</v>
      </c>
      <c r="G24" s="341">
        <v>150</v>
      </c>
      <c r="H24" s="341">
        <v>173</v>
      </c>
      <c r="I24" s="341">
        <v>99</v>
      </c>
      <c r="J24" s="341">
        <v>141.19919999999999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f>'12.2014 CB Power Supply'!F29</f>
        <v>0</v>
      </c>
    </row>
    <row r="25" spans="1:25">
      <c r="A25" s="400" t="s">
        <v>23</v>
      </c>
      <c r="D25" s="62"/>
      <c r="E25" s="341">
        <v>1984.7226000000001</v>
      </c>
      <c r="F25" s="341">
        <v>25</v>
      </c>
      <c r="G25" s="341">
        <v>46700</v>
      </c>
      <c r="H25" s="341">
        <v>63438</v>
      </c>
      <c r="I25" s="341">
        <v>51</v>
      </c>
      <c r="J25" s="341">
        <v>73.868099999999998</v>
      </c>
      <c r="K25" s="341">
        <v>291</v>
      </c>
      <c r="L25" s="341">
        <v>243</v>
      </c>
      <c r="M25" s="341">
        <v>297</v>
      </c>
      <c r="N25" s="341">
        <v>307.48380000000003</v>
      </c>
      <c r="O25" s="341">
        <v>465.89399999999995</v>
      </c>
      <c r="P25" s="341">
        <v>820.7192</v>
      </c>
      <c r="Q25" s="341">
        <v>891.93719999999996</v>
      </c>
      <c r="R25" s="341">
        <v>711</v>
      </c>
      <c r="S25" s="341">
        <f>'12.2014 CB Power Supply'!F30</f>
        <v>376</v>
      </c>
    </row>
    <row r="26" spans="1:25" s="446" customFormat="1">
      <c r="A26" s="446" t="s">
        <v>405</v>
      </c>
      <c r="D26" s="6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>
        <v>0</v>
      </c>
      <c r="R26" s="341">
        <v>0</v>
      </c>
      <c r="S26" s="341">
        <f>'12.2014 CB Power Supply'!F31</f>
        <v>2396</v>
      </c>
    </row>
    <row r="27" spans="1:25">
      <c r="A27" s="400" t="s">
        <v>24</v>
      </c>
      <c r="D27" s="62"/>
      <c r="E27" s="341">
        <v>7669.7530000000006</v>
      </c>
      <c r="F27" s="341">
        <v>7010</v>
      </c>
      <c r="G27" s="341">
        <v>5723</v>
      </c>
      <c r="H27" s="341">
        <v>5938</v>
      </c>
      <c r="I27" s="341">
        <v>8671</v>
      </c>
      <c r="J27" s="341">
        <v>6436.3301999999994</v>
      </c>
      <c r="K27" s="341">
        <v>9054</v>
      </c>
      <c r="L27" s="341">
        <v>8948</v>
      </c>
      <c r="M27" s="341">
        <v>8782</v>
      </c>
      <c r="N27" s="341">
        <v>8661.4423999999999</v>
      </c>
      <c r="O27" s="341">
        <v>11537.8812</v>
      </c>
      <c r="P27" s="341">
        <v>11410.475999999999</v>
      </c>
      <c r="Q27" s="341">
        <v>11410.555200000001</v>
      </c>
      <c r="R27" s="341">
        <v>11687</v>
      </c>
      <c r="S27" s="341">
        <f>'12.2014 CB Power Supply'!F32</f>
        <v>12228</v>
      </c>
    </row>
    <row r="28" spans="1:25" ht="15.6" customHeight="1">
      <c r="A28" s="18"/>
      <c r="B28" s="18"/>
      <c r="C28" s="18"/>
      <c r="D28" s="45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"/>
      <c r="V28" s="18"/>
      <c r="W28" s="18"/>
      <c r="X28" s="18"/>
      <c r="Y28" s="18"/>
    </row>
    <row r="29" spans="1:25">
      <c r="A29" s="400" t="s">
        <v>25</v>
      </c>
      <c r="D29" s="62"/>
      <c r="E29" s="343">
        <f>SUM(E17:E28)</f>
        <v>234785.2591</v>
      </c>
      <c r="F29" s="343">
        <f t="shared" ref="F29:Q29" si="1">SUM(F17:F28)</f>
        <v>156185</v>
      </c>
      <c r="G29" s="343">
        <f t="shared" si="1"/>
        <v>124379</v>
      </c>
      <c r="H29" s="343">
        <f t="shared" si="1"/>
        <v>154282</v>
      </c>
      <c r="I29" s="343">
        <f t="shared" si="1"/>
        <v>122799</v>
      </c>
      <c r="J29" s="343">
        <f t="shared" si="1"/>
        <v>133120.12169999999</v>
      </c>
      <c r="K29" s="343">
        <f t="shared" si="1"/>
        <v>152124</v>
      </c>
      <c r="L29" s="343">
        <f t="shared" si="1"/>
        <v>135719</v>
      </c>
      <c r="M29" s="343">
        <f t="shared" si="1"/>
        <v>152984</v>
      </c>
      <c r="N29" s="343">
        <f t="shared" si="1"/>
        <v>146538.0865</v>
      </c>
      <c r="O29" s="343">
        <f t="shared" si="1"/>
        <v>249368.62319999994</v>
      </c>
      <c r="P29" s="343">
        <f t="shared" si="1"/>
        <v>188583.39639999997</v>
      </c>
      <c r="Q29" s="343">
        <f t="shared" si="1"/>
        <v>180833.76630000002</v>
      </c>
      <c r="R29" s="343">
        <f t="shared" ref="R29:S29" si="2">SUM(R17:R28)</f>
        <v>201471</v>
      </c>
      <c r="S29" s="343">
        <f t="shared" si="2"/>
        <v>186117</v>
      </c>
    </row>
    <row r="30" spans="1:25"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25">
      <c r="A31" s="400" t="s">
        <v>26</v>
      </c>
      <c r="D31" s="60"/>
      <c r="E31" s="341">
        <f>E14-E29</f>
        <v>-87497.496799999994</v>
      </c>
      <c r="F31" s="341">
        <f t="shared" ref="F31:Q31" si="3">F14-F29</f>
        <v>-53162</v>
      </c>
      <c r="G31" s="341">
        <f t="shared" si="3"/>
        <v>-67358</v>
      </c>
      <c r="H31" s="341">
        <f t="shared" si="3"/>
        <v>-71922</v>
      </c>
      <c r="I31" s="341">
        <f t="shared" si="3"/>
        <v>-82075</v>
      </c>
      <c r="J31" s="341">
        <f t="shared" si="3"/>
        <v>-88251.4611</v>
      </c>
      <c r="K31" s="341">
        <f t="shared" si="3"/>
        <v>-116545</v>
      </c>
      <c r="L31" s="341">
        <f t="shared" si="3"/>
        <v>-100544</v>
      </c>
      <c r="M31" s="341">
        <f t="shared" si="3"/>
        <v>-105919</v>
      </c>
      <c r="N31" s="341">
        <f t="shared" si="3"/>
        <v>-115245.4472</v>
      </c>
      <c r="O31" s="341">
        <f t="shared" si="3"/>
        <v>-115955.47799999994</v>
      </c>
      <c r="P31" s="341">
        <f t="shared" si="3"/>
        <v>-134228.69039999996</v>
      </c>
      <c r="Q31" s="341">
        <f t="shared" si="3"/>
        <v>-124859.50620000002</v>
      </c>
      <c r="R31" s="341">
        <f t="shared" ref="R31:S31" si="4">R14-R29</f>
        <v>-125839</v>
      </c>
      <c r="S31" s="341">
        <f t="shared" si="4"/>
        <v>-122057</v>
      </c>
    </row>
    <row r="32" spans="1:25">
      <c r="D32" s="6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  <row r="33" spans="1:19">
      <c r="A33" s="400" t="s">
        <v>27</v>
      </c>
      <c r="C33" s="64">
        <v>0.35</v>
      </c>
      <c r="D33" s="65"/>
      <c r="E33" s="342">
        <f>E31*0.35</f>
        <v>-30624.123879999996</v>
      </c>
      <c r="F33" s="342">
        <f t="shared" ref="F33:Q33" si="5">F31*0.35</f>
        <v>-18606.699999999997</v>
      </c>
      <c r="G33" s="342">
        <f t="shared" si="5"/>
        <v>-23575.3</v>
      </c>
      <c r="H33" s="342">
        <f t="shared" si="5"/>
        <v>-25172.699999999997</v>
      </c>
      <c r="I33" s="342">
        <f t="shared" si="5"/>
        <v>-28726.249999999996</v>
      </c>
      <c r="J33" s="342">
        <f t="shared" si="5"/>
        <v>-30888.011384999998</v>
      </c>
      <c r="K33" s="342">
        <f t="shared" si="5"/>
        <v>-40790.75</v>
      </c>
      <c r="L33" s="342">
        <f t="shared" si="5"/>
        <v>-35190.399999999994</v>
      </c>
      <c r="M33" s="342">
        <f t="shared" si="5"/>
        <v>-37071.649999999994</v>
      </c>
      <c r="N33" s="342">
        <f t="shared" si="5"/>
        <v>-40335.906519999997</v>
      </c>
      <c r="O33" s="342">
        <f t="shared" si="5"/>
        <v>-40584.417299999979</v>
      </c>
      <c r="P33" s="342">
        <f t="shared" si="5"/>
        <v>-46980.041639999981</v>
      </c>
      <c r="Q33" s="342">
        <f t="shared" si="5"/>
        <v>-43700.827170000004</v>
      </c>
      <c r="R33" s="342">
        <f t="shared" ref="R33:S33" si="6">R31*0.35</f>
        <v>-44043.649999999994</v>
      </c>
      <c r="S33" s="342">
        <f t="shared" si="6"/>
        <v>-42719.95</v>
      </c>
    </row>
    <row r="34" spans="1:19">
      <c r="D34" s="65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</row>
    <row r="35" spans="1:19">
      <c r="A35" s="400" t="s">
        <v>28</v>
      </c>
      <c r="D35" s="60"/>
      <c r="E35" s="424">
        <f>E31-E33</f>
        <v>-56873.372919999994</v>
      </c>
      <c r="F35" s="424">
        <f t="shared" ref="F35:Q35" si="7">F31-F33</f>
        <v>-34555.300000000003</v>
      </c>
      <c r="G35" s="424">
        <f t="shared" si="7"/>
        <v>-43782.7</v>
      </c>
      <c r="H35" s="424">
        <f t="shared" si="7"/>
        <v>-46749.3</v>
      </c>
      <c r="I35" s="424">
        <f t="shared" si="7"/>
        <v>-53348.75</v>
      </c>
      <c r="J35" s="424">
        <f t="shared" si="7"/>
        <v>-57363.449715000002</v>
      </c>
      <c r="K35" s="424">
        <f t="shared" si="7"/>
        <v>-75754.25</v>
      </c>
      <c r="L35" s="424">
        <f t="shared" si="7"/>
        <v>-65353.600000000006</v>
      </c>
      <c r="M35" s="424">
        <f t="shared" si="7"/>
        <v>-68847.350000000006</v>
      </c>
      <c r="N35" s="424">
        <f t="shared" si="7"/>
        <v>-74909.540680000006</v>
      </c>
      <c r="O35" s="424">
        <f t="shared" si="7"/>
        <v>-75371.060699999973</v>
      </c>
      <c r="P35" s="424">
        <f t="shared" si="7"/>
        <v>-87248.648759999982</v>
      </c>
      <c r="Q35" s="424">
        <f t="shared" si="7"/>
        <v>-81158.679030000014</v>
      </c>
      <c r="R35" s="424">
        <f t="shared" ref="R35:S35" si="8">R31-R33</f>
        <v>-81795.350000000006</v>
      </c>
      <c r="S35" s="424">
        <f t="shared" si="8"/>
        <v>-79337.05</v>
      </c>
    </row>
    <row r="36" spans="1:19">
      <c r="E36" s="341"/>
      <c r="F36" s="341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25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25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21"/>
    </row>
    <row r="45" spans="1:19">
      <c r="J45" s="421"/>
    </row>
    <row r="54" spans="1:21">
      <c r="A54" s="711" t="s">
        <v>669</v>
      </c>
      <c r="B54" s="711"/>
      <c r="C54" s="711"/>
      <c r="D54" s="62"/>
      <c r="E54" s="676"/>
      <c r="F54" s="676"/>
      <c r="G54" s="676"/>
      <c r="H54" s="676"/>
      <c r="I54" s="676"/>
      <c r="J54" s="712">
        <f>ROUND(9555*J33,0)</f>
        <v>-295134949</v>
      </c>
      <c r="K54" s="712">
        <f>ROUND(12757*K33,0)</f>
        <v>-520367598</v>
      </c>
      <c r="L54" s="712">
        <f>ROUND(14241*L33,0)</f>
        <v>-501146486</v>
      </c>
      <c r="M54" s="712">
        <f>ROUND(15869*M33,0)</f>
        <v>-588290014</v>
      </c>
      <c r="N54" s="712">
        <f>ROUND(16051*N33,0)</f>
        <v>-647431636</v>
      </c>
      <c r="O54" s="712">
        <f>ROUND(15132*O33,0)</f>
        <v>-614123403</v>
      </c>
      <c r="P54" s="712">
        <f>ROUND(16369*P33,0)</f>
        <v>-769016302</v>
      </c>
      <c r="Q54" s="712">
        <f>ROUND(21605*Q33,0)</f>
        <v>-944156371</v>
      </c>
      <c r="R54" s="712">
        <f>ROUND(17902*R33,0)</f>
        <v>-788469422</v>
      </c>
      <c r="S54" s="712">
        <f>ROUND(18743*S33,0)</f>
        <v>-800700023</v>
      </c>
      <c r="T54" s="676">
        <f>'12.2014 CB Power Supply'!F59+'12.2014 CB Power Supply'!F60</f>
        <v>0</v>
      </c>
      <c r="U54" s="711" t="s">
        <v>670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09375" defaultRowHeight="14.4"/>
  <cols>
    <col min="1" max="4" width="9.109375" style="354"/>
    <col min="5" max="5" width="11.5546875" style="354" bestFit="1" customWidth="1"/>
    <col min="6" max="14" width="10.5546875" style="354" bestFit="1" customWidth="1"/>
    <col min="15" max="15" width="11.5546875" style="354" bestFit="1" customWidth="1"/>
    <col min="16" max="19" width="10.5546875" style="354" bestFit="1" customWidth="1"/>
    <col min="20" max="16384" width="9.109375" style="354"/>
  </cols>
  <sheetData>
    <row r="1" spans="1:20">
      <c r="A1" s="354" t="s">
        <v>350</v>
      </c>
    </row>
    <row r="2" spans="1:20">
      <c r="P2" s="355"/>
      <c r="Q2" s="355"/>
      <c r="R2" s="355"/>
      <c r="S2" s="725" t="s">
        <v>672</v>
      </c>
    </row>
    <row r="3" spans="1:20">
      <c r="D3" s="356"/>
      <c r="E3" s="357">
        <v>2000</v>
      </c>
      <c r="F3" s="358">
        <v>2001</v>
      </c>
      <c r="G3" s="358">
        <v>2002</v>
      </c>
      <c r="H3" s="358">
        <v>2003</v>
      </c>
      <c r="I3" s="358">
        <v>2004</v>
      </c>
      <c r="J3" s="358">
        <v>2005</v>
      </c>
      <c r="K3" s="358">
        <v>2006</v>
      </c>
      <c r="L3" s="358">
        <v>2007</v>
      </c>
      <c r="M3" s="358">
        <v>2008</v>
      </c>
      <c r="N3" s="358">
        <v>2009</v>
      </c>
      <c r="O3" s="358">
        <v>2010</v>
      </c>
      <c r="P3" s="358">
        <v>2011</v>
      </c>
      <c r="Q3" s="358">
        <v>2012</v>
      </c>
      <c r="R3" s="358">
        <v>2013</v>
      </c>
      <c r="S3" s="358">
        <v>2014</v>
      </c>
    </row>
    <row r="4" spans="1:20">
      <c r="A4" s="354" t="s">
        <v>9</v>
      </c>
      <c r="D4" s="359"/>
      <c r="E4" s="360">
        <v>0.66290000000000004</v>
      </c>
      <c r="F4" s="360">
        <v>0.67479999999999996</v>
      </c>
      <c r="G4" s="360">
        <v>0.64119999999999999</v>
      </c>
      <c r="H4" s="360">
        <v>0.65480000000000005</v>
      </c>
      <c r="I4" s="360">
        <v>0.65159999999999996</v>
      </c>
      <c r="J4" s="360">
        <v>0.65369999999999995</v>
      </c>
      <c r="K4" s="360">
        <v>0.6583</v>
      </c>
      <c r="L4" s="360">
        <v>0.64590000000000003</v>
      </c>
      <c r="M4" s="360">
        <v>0.64419999999999999</v>
      </c>
      <c r="N4" s="360">
        <v>0.64870000000000005</v>
      </c>
      <c r="O4" s="360">
        <v>0.65159999999999996</v>
      </c>
      <c r="P4" s="361">
        <v>0.65239999999999998</v>
      </c>
      <c r="Q4" s="361">
        <v>0.65010000000000001</v>
      </c>
      <c r="R4" s="361">
        <v>0.65190000000000003</v>
      </c>
      <c r="S4" s="361">
        <v>0.64710000000000001</v>
      </c>
    </row>
    <row r="5" spans="1:20">
      <c r="A5" s="354" t="s">
        <v>351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20">
      <c r="A6" s="354" t="s">
        <v>10</v>
      </c>
      <c r="D6" s="362"/>
      <c r="E6" s="363">
        <v>135976.0367</v>
      </c>
      <c r="F6" s="363">
        <v>90880</v>
      </c>
      <c r="G6" s="363">
        <v>31728</v>
      </c>
      <c r="H6" s="363">
        <v>35221</v>
      </c>
      <c r="I6" s="363">
        <v>40439</v>
      </c>
      <c r="J6" s="363">
        <v>44689.546799999996</v>
      </c>
      <c r="K6" s="363">
        <v>35381</v>
      </c>
      <c r="L6" s="363">
        <v>34954</v>
      </c>
      <c r="M6" s="363">
        <v>46849</v>
      </c>
      <c r="N6" s="363">
        <v>30933.259500000004</v>
      </c>
      <c r="O6" s="363">
        <v>132773.274</v>
      </c>
      <c r="P6" s="363">
        <v>52603.011999999995</v>
      </c>
      <c r="Q6" s="363">
        <v>54547.940699999999</v>
      </c>
      <c r="R6" s="340">
        <v>75350</v>
      </c>
      <c r="S6" s="340">
        <f>'PS Consolidated'!S9</f>
        <v>60998</v>
      </c>
    </row>
    <row r="7" spans="1:20">
      <c r="A7" s="354" t="s">
        <v>11</v>
      </c>
      <c r="D7" s="364"/>
      <c r="E7" s="365">
        <v>300.2937</v>
      </c>
      <c r="F7" s="365">
        <v>281</v>
      </c>
      <c r="G7" s="365">
        <v>38</v>
      </c>
      <c r="H7" s="365">
        <v>297</v>
      </c>
      <c r="I7" s="365">
        <v>238</v>
      </c>
      <c r="J7" s="365">
        <v>124.85669999999999</v>
      </c>
      <c r="K7" s="365">
        <v>153</v>
      </c>
      <c r="L7" s="365">
        <v>200</v>
      </c>
      <c r="M7" s="365">
        <v>198</v>
      </c>
      <c r="N7" s="365">
        <v>247.15470000000002</v>
      </c>
      <c r="O7" s="365">
        <v>183.75119999999998</v>
      </c>
      <c r="P7" s="365">
        <v>330.76679999999999</v>
      </c>
      <c r="Q7" s="365">
        <v>303.5967</v>
      </c>
      <c r="R7" s="365">
        <v>282</v>
      </c>
      <c r="S7" s="365">
        <f>475*S4</f>
        <v>307.3725</v>
      </c>
    </row>
    <row r="8" spans="1:20">
      <c r="A8" s="354" t="s">
        <v>12</v>
      </c>
      <c r="D8" s="364"/>
      <c r="E8" s="365">
        <v>43.751400000000004</v>
      </c>
      <c r="F8" s="365">
        <v>0</v>
      </c>
      <c r="G8" s="365">
        <v>30</v>
      </c>
      <c r="H8" s="365">
        <v>16</v>
      </c>
      <c r="I8" s="365">
        <v>16</v>
      </c>
      <c r="J8" s="365">
        <v>12.420299999999999</v>
      </c>
      <c r="K8" s="365">
        <v>14</v>
      </c>
      <c r="L8" s="365">
        <v>14</v>
      </c>
      <c r="M8" s="365">
        <v>16</v>
      </c>
      <c r="N8" s="365">
        <v>18.8123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</row>
    <row r="9" spans="1:20">
      <c r="A9" s="354" t="s">
        <v>13</v>
      </c>
      <c r="D9" s="366"/>
      <c r="E9" s="367">
        <v>10967.6805</v>
      </c>
      <c r="F9" s="367">
        <v>11862</v>
      </c>
      <c r="G9" s="367">
        <v>25225</v>
      </c>
      <c r="H9" s="367">
        <v>46826</v>
      </c>
      <c r="I9" s="367">
        <v>31</v>
      </c>
      <c r="J9" s="367">
        <v>41.836799999999997</v>
      </c>
      <c r="K9" s="367">
        <v>31</v>
      </c>
      <c r="L9" s="367">
        <v>7</v>
      </c>
      <c r="M9" s="367">
        <v>2</v>
      </c>
      <c r="N9" s="367">
        <v>93.412800000000004</v>
      </c>
      <c r="O9" s="367">
        <v>456.11999999999995</v>
      </c>
      <c r="P9" s="367">
        <v>1420.9271999999999</v>
      </c>
      <c r="Q9" s="367">
        <f>'PS Consolidated'!Q12+'PS Consolidated'!Q13</f>
        <v>1185.7227</v>
      </c>
      <c r="R9" s="367">
        <f>'PS Consolidated'!R12+'PS Consolidated'!R13</f>
        <v>0</v>
      </c>
      <c r="S9" s="367">
        <f>'PS Consolidated'!S12+'PS Consolidated'!S13</f>
        <v>2755</v>
      </c>
    </row>
    <row r="10" spans="1:20">
      <c r="A10" s="354" t="s">
        <v>14</v>
      </c>
      <c r="D10" s="366"/>
      <c r="E10" s="365">
        <f t="shared" ref="E10:R10" si="0">SUM(E6:E9)</f>
        <v>147287.7623</v>
      </c>
      <c r="F10" s="365">
        <f t="shared" si="0"/>
        <v>103023</v>
      </c>
      <c r="G10" s="365">
        <f t="shared" si="0"/>
        <v>57021</v>
      </c>
      <c r="H10" s="365">
        <f t="shared" si="0"/>
        <v>82360</v>
      </c>
      <c r="I10" s="365">
        <f t="shared" si="0"/>
        <v>40724</v>
      </c>
      <c r="J10" s="365">
        <f t="shared" si="0"/>
        <v>44868.660599999988</v>
      </c>
      <c r="K10" s="365">
        <f t="shared" si="0"/>
        <v>35579</v>
      </c>
      <c r="L10" s="365">
        <f t="shared" si="0"/>
        <v>35175</v>
      </c>
      <c r="M10" s="365">
        <f t="shared" si="0"/>
        <v>47065</v>
      </c>
      <c r="N10" s="365">
        <f t="shared" si="0"/>
        <v>31292.639300000003</v>
      </c>
      <c r="O10" s="365">
        <f t="shared" si="0"/>
        <v>133413.1452</v>
      </c>
      <c r="P10" s="365">
        <f t="shared" si="0"/>
        <v>54354.705999999991</v>
      </c>
      <c r="Q10" s="365">
        <f t="shared" si="0"/>
        <v>56037.2601</v>
      </c>
      <c r="R10" s="365">
        <f t="shared" si="0"/>
        <v>75632</v>
      </c>
      <c r="S10" s="365">
        <f t="shared" ref="S10" si="1">SUM(S6:S9)</f>
        <v>64060.372499999998</v>
      </c>
    </row>
    <row r="11" spans="1:20">
      <c r="R11" s="557"/>
      <c r="S11" s="557"/>
    </row>
    <row r="12" spans="1:20">
      <c r="A12" s="354" t="s">
        <v>352</v>
      </c>
      <c r="R12" s="557"/>
      <c r="S12" s="557"/>
    </row>
    <row r="13" spans="1:20">
      <c r="A13" s="354" t="s">
        <v>353</v>
      </c>
      <c r="E13" s="368">
        <f>'CBR Hist'!F15</f>
        <v>137117</v>
      </c>
      <c r="F13" s="368">
        <f>'CBR Hist'!G15</f>
        <v>91388</v>
      </c>
      <c r="G13" s="368">
        <f>'CBR Hist'!H15</f>
        <v>29918</v>
      </c>
      <c r="H13" s="368">
        <f>'CBR Hist'!I15</f>
        <v>35252</v>
      </c>
      <c r="I13" s="368">
        <f>'CBR Hist'!J15</f>
        <v>40460</v>
      </c>
      <c r="J13" s="368">
        <f>'CBR Hist'!K15</f>
        <v>44718</v>
      </c>
      <c r="K13" s="368">
        <f>'CBR Hist'!L15</f>
        <v>35380</v>
      </c>
      <c r="L13" s="368">
        <f>'CBR Hist'!M15</f>
        <v>34954</v>
      </c>
      <c r="M13" s="368">
        <f>'CBR Hist'!N15</f>
        <v>46848</v>
      </c>
      <c r="N13" s="368">
        <f>'CBR Hist'!O15</f>
        <v>31491</v>
      </c>
      <c r="O13" s="368">
        <f>'CBR Hist'!P15</f>
        <v>133479</v>
      </c>
      <c r="P13" s="368">
        <f>'CBR Hist'!Q15</f>
        <v>52604</v>
      </c>
      <c r="Q13" s="368">
        <f>'CBR Hist'!R15</f>
        <v>54549</v>
      </c>
      <c r="R13" s="369">
        <f>'CBR Hist'!S15+1</f>
        <v>75350</v>
      </c>
      <c r="S13" s="369">
        <f>'CBR Hist'!T15</f>
        <v>60998</v>
      </c>
    </row>
    <row r="14" spans="1:20">
      <c r="A14" s="354" t="s">
        <v>1</v>
      </c>
      <c r="E14" s="368">
        <f>'CBR Hist'!F17</f>
        <v>13062</v>
      </c>
      <c r="F14" s="368">
        <f>'CBR Hist'!G17</f>
        <v>14305</v>
      </c>
      <c r="G14" s="368">
        <f>'CBR Hist'!H17</f>
        <v>34274</v>
      </c>
      <c r="H14" s="368">
        <f>'CBR Hist'!I17</f>
        <v>57244</v>
      </c>
      <c r="I14" s="368">
        <f>'CBR Hist'!J17</f>
        <v>8587</v>
      </c>
      <c r="J14" s="368">
        <f>'CBR Hist'!K17</f>
        <v>10259</v>
      </c>
      <c r="K14" s="368">
        <f>'CBR Hist'!L17</f>
        <v>10178</v>
      </c>
      <c r="L14" s="368">
        <f>'CBR Hist'!M17</f>
        <v>10170</v>
      </c>
      <c r="M14" s="368">
        <f>'CBR Hist'!N17</f>
        <v>10927</v>
      </c>
      <c r="N14" s="368">
        <f>'CBR Hist'!O17</f>
        <v>9395</v>
      </c>
      <c r="O14" s="368">
        <f>'CBR Hist'!P17</f>
        <v>11786</v>
      </c>
      <c r="P14" s="368">
        <f>'CBR Hist'!Q17</f>
        <v>13666</v>
      </c>
      <c r="Q14" s="368">
        <f>'CBR Hist'!R17</f>
        <v>13089</v>
      </c>
      <c r="R14" s="369">
        <f>'CBR Hist'!S17</f>
        <v>13408</v>
      </c>
      <c r="S14" s="369">
        <f>'CBR Hist'!T17</f>
        <v>17163</v>
      </c>
    </row>
    <row r="15" spans="1:20">
      <c r="R15" s="557"/>
      <c r="S15" s="557"/>
    </row>
    <row r="16" spans="1:20">
      <c r="A16" s="452" t="s">
        <v>403</v>
      </c>
      <c r="E16" s="368">
        <v>7824</v>
      </c>
      <c r="F16" s="368">
        <v>9892</v>
      </c>
      <c r="G16" s="368">
        <f>ROUND(11097*G4,0)</f>
        <v>7115</v>
      </c>
      <c r="H16" s="368">
        <f>ROUND(11559*H4,0)</f>
        <v>7569</v>
      </c>
      <c r="I16" s="368">
        <f>ROUND(8476*I4,0)</f>
        <v>5523</v>
      </c>
      <c r="J16" s="369">
        <f>ROUND(10033*J4,0)+78</f>
        <v>6637</v>
      </c>
      <c r="K16" s="369">
        <f>ROUND(10539*K4,0)+86</f>
        <v>7024</v>
      </c>
      <c r="L16" s="369">
        <f>ROUND(10488*L4,0)+102</f>
        <v>6876</v>
      </c>
      <c r="M16" s="369">
        <f>ROUND(9486*M4,0)+102</f>
        <v>6213</v>
      </c>
      <c r="N16" s="369">
        <f>ROUND(9315*N4,0)+90</f>
        <v>6133</v>
      </c>
      <c r="O16" s="369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05"/>
    </row>
    <row r="17" spans="1:19">
      <c r="A17" s="452" t="s">
        <v>406</v>
      </c>
      <c r="E17" s="370">
        <f>E9-E16</f>
        <v>3143.6805000000004</v>
      </c>
      <c r="F17" s="370">
        <f>F9-F16</f>
        <v>1970</v>
      </c>
      <c r="G17" s="370">
        <f>G9</f>
        <v>25225</v>
      </c>
      <c r="H17" s="370">
        <f>H9</f>
        <v>46826</v>
      </c>
      <c r="I17" s="370">
        <f>I9</f>
        <v>31</v>
      </c>
      <c r="J17" s="370">
        <f t="shared" ref="J17:Q17" si="2">J9</f>
        <v>41.836799999999997</v>
      </c>
      <c r="K17" s="370">
        <f t="shared" si="2"/>
        <v>31</v>
      </c>
      <c r="L17" s="370">
        <f t="shared" si="2"/>
        <v>7</v>
      </c>
      <c r="M17" s="370">
        <f>M9+1623</f>
        <v>1625</v>
      </c>
      <c r="N17" s="370">
        <f>N9+89</f>
        <v>182.4128</v>
      </c>
      <c r="O17" s="370">
        <f t="shared" si="2"/>
        <v>456.11999999999995</v>
      </c>
      <c r="P17" s="370">
        <f t="shared" si="2"/>
        <v>1420.9271999999999</v>
      </c>
      <c r="Q17" s="370">
        <f t="shared" si="2"/>
        <v>1185.7227</v>
      </c>
      <c r="R17" s="558">
        <f>R9</f>
        <v>0</v>
      </c>
      <c r="S17" s="558">
        <f>S9</f>
        <v>2755</v>
      </c>
    </row>
    <row r="18" spans="1:19">
      <c r="A18" s="45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558"/>
      <c r="S18" s="558"/>
    </row>
    <row r="19" spans="1:19">
      <c r="A19" s="485" t="s">
        <v>463</v>
      </c>
      <c r="E19" s="370">
        <f t="shared" ref="E19:R19" si="3">E17+E7+E8</f>
        <v>3487.7256000000007</v>
      </c>
      <c r="F19" s="370">
        <f t="shared" si="3"/>
        <v>2251</v>
      </c>
      <c r="G19" s="370">
        <f t="shared" si="3"/>
        <v>25293</v>
      </c>
      <c r="H19" s="370">
        <f t="shared" si="3"/>
        <v>47139</v>
      </c>
      <c r="I19" s="370">
        <f t="shared" si="3"/>
        <v>285</v>
      </c>
      <c r="J19" s="370">
        <f t="shared" si="3"/>
        <v>179.11379999999997</v>
      </c>
      <c r="K19" s="370">
        <f t="shared" si="3"/>
        <v>198</v>
      </c>
      <c r="L19" s="370">
        <f t="shared" si="3"/>
        <v>221</v>
      </c>
      <c r="M19" s="370">
        <f t="shared" si="3"/>
        <v>1839</v>
      </c>
      <c r="N19" s="370">
        <f t="shared" si="3"/>
        <v>448.37979999999999</v>
      </c>
      <c r="O19" s="370">
        <f t="shared" si="3"/>
        <v>639.87119999999993</v>
      </c>
      <c r="P19" s="370">
        <f t="shared" si="3"/>
        <v>1751.694</v>
      </c>
      <c r="Q19" s="370">
        <f t="shared" si="3"/>
        <v>1489.3194000000001</v>
      </c>
      <c r="R19" s="558">
        <f t="shared" si="3"/>
        <v>282</v>
      </c>
      <c r="S19" s="558">
        <f>S17+S7+S8</f>
        <v>3062.3724999999999</v>
      </c>
    </row>
    <row r="20" spans="1:19">
      <c r="R20" s="557"/>
      <c r="S20" s="557"/>
    </row>
    <row r="21" spans="1:19">
      <c r="A21" s="354" t="s">
        <v>354</v>
      </c>
      <c r="E21" s="370">
        <f>E14-E9-E7-E8</f>
        <v>1750.2743999999996</v>
      </c>
      <c r="F21" s="370">
        <f>F14-F9-F7-F8</f>
        <v>2162</v>
      </c>
      <c r="G21" s="370">
        <f t="shared" ref="G21:Q21" si="4">G14-G16-G17-G7-G8</f>
        <v>1866</v>
      </c>
      <c r="H21" s="370">
        <f t="shared" si="4"/>
        <v>2536</v>
      </c>
      <c r="I21" s="370">
        <f t="shared" si="4"/>
        <v>2779</v>
      </c>
      <c r="J21" s="370">
        <f t="shared" si="4"/>
        <v>3442.8861999999999</v>
      </c>
      <c r="K21" s="370">
        <f t="shared" si="4"/>
        <v>2956</v>
      </c>
      <c r="L21" s="370">
        <f t="shared" si="4"/>
        <v>3073</v>
      </c>
      <c r="M21" s="370">
        <f t="shared" si="4"/>
        <v>2875</v>
      </c>
      <c r="N21" s="370">
        <f t="shared" si="4"/>
        <v>2813.6201999999998</v>
      </c>
      <c r="O21" s="370">
        <f t="shared" si="4"/>
        <v>2813.1288</v>
      </c>
      <c r="P21" s="370">
        <f t="shared" si="4"/>
        <v>2812.306</v>
      </c>
      <c r="Q21" s="370">
        <f t="shared" si="4"/>
        <v>3314.6805999999997</v>
      </c>
      <c r="R21" s="558">
        <f>R14-R16-R17-R7-R8</f>
        <v>3464</v>
      </c>
      <c r="S21" s="558">
        <f>S14-S16-S17-S7-S8</f>
        <v>3478.1931</v>
      </c>
    </row>
    <row r="23" spans="1:19">
      <c r="A23" s="453" t="s">
        <v>407</v>
      </c>
      <c r="E23" s="370" t="str">
        <f t="shared" ref="E23:R23" si="5">IF(E7+E8+E16+E17+E21=E14,"","footing error")</f>
        <v/>
      </c>
      <c r="F23" s="370" t="str">
        <f t="shared" si="5"/>
        <v/>
      </c>
      <c r="G23" s="370" t="str">
        <f t="shared" si="5"/>
        <v/>
      </c>
      <c r="H23" s="370" t="str">
        <f t="shared" si="5"/>
        <v/>
      </c>
      <c r="I23" s="370" t="str">
        <f t="shared" si="5"/>
        <v/>
      </c>
      <c r="J23" s="370" t="str">
        <f t="shared" si="5"/>
        <v/>
      </c>
      <c r="K23" s="370" t="str">
        <f t="shared" si="5"/>
        <v/>
      </c>
      <c r="L23" s="370" t="str">
        <f t="shared" si="5"/>
        <v/>
      </c>
      <c r="M23" s="370" t="str">
        <f t="shared" si="5"/>
        <v/>
      </c>
      <c r="N23" s="370" t="str">
        <f t="shared" si="5"/>
        <v/>
      </c>
      <c r="O23" s="370" t="str">
        <f t="shared" si="5"/>
        <v/>
      </c>
      <c r="P23" s="370" t="str">
        <f t="shared" si="5"/>
        <v/>
      </c>
      <c r="Q23" s="370" t="str">
        <f t="shared" si="5"/>
        <v/>
      </c>
      <c r="R23" s="370" t="str">
        <f t="shared" si="5"/>
        <v/>
      </c>
      <c r="S23" s="370" t="str">
        <f t="shared" ref="S23" si="6">IF(S7+S8+S16+S17+S21=S14,"","footing error")</f>
        <v/>
      </c>
    </row>
    <row r="24" spans="1:19">
      <c r="I24" s="546" t="s">
        <v>504</v>
      </c>
      <c r="M24" s="370">
        <v>1623</v>
      </c>
      <c r="N24" s="370">
        <v>89</v>
      </c>
      <c r="O24" s="370"/>
      <c r="P24" s="370"/>
    </row>
    <row r="25" spans="1:19">
      <c r="I25" s="371" t="s">
        <v>355</v>
      </c>
      <c r="M25" s="370"/>
      <c r="N25" s="370"/>
      <c r="O25" s="370">
        <v>-767</v>
      </c>
      <c r="P25" s="370"/>
    </row>
    <row r="26" spans="1:19">
      <c r="I26" s="371" t="s">
        <v>356</v>
      </c>
      <c r="M26" s="370"/>
      <c r="N26" s="370"/>
      <c r="O26" s="370"/>
      <c r="P26" s="370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zoomScaleNormal="100" zoomScaleSheetLayoutView="90" workbookViewId="0">
      <selection activeCell="J11" sqref="J11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55"/>
      <c r="I1" s="455"/>
      <c r="J1" s="455"/>
      <c r="K1" s="455"/>
      <c r="L1" s="456"/>
    </row>
    <row r="2" spans="1:12">
      <c r="A2" s="902"/>
      <c r="B2" s="902"/>
      <c r="C2" s="902"/>
      <c r="D2" s="902"/>
      <c r="E2" s="902"/>
      <c r="F2" s="902"/>
      <c r="G2" s="902"/>
      <c r="H2" s="890" t="s">
        <v>95</v>
      </c>
      <c r="I2" s="890"/>
      <c r="J2" s="890"/>
      <c r="K2" s="890"/>
      <c r="L2" s="890"/>
    </row>
    <row r="3" spans="1:12">
      <c r="A3" s="903" t="s">
        <v>686</v>
      </c>
      <c r="B3" s="903"/>
      <c r="C3" s="903"/>
      <c r="D3" s="903"/>
      <c r="E3" s="903"/>
      <c r="F3" s="903"/>
      <c r="G3" s="903"/>
      <c r="H3" s="890" t="s">
        <v>272</v>
      </c>
      <c r="I3" s="890"/>
      <c r="J3" s="890"/>
      <c r="K3" s="890"/>
      <c r="L3" s="890"/>
    </row>
    <row r="4" spans="1:12" ht="15.6">
      <c r="A4" s="902" t="s">
        <v>272</v>
      </c>
      <c r="B4" s="902"/>
      <c r="C4" s="902"/>
      <c r="D4" s="902"/>
      <c r="E4" s="902"/>
      <c r="F4" s="902"/>
      <c r="G4" s="902"/>
      <c r="H4" s="900" t="s">
        <v>603</v>
      </c>
      <c r="I4" s="901"/>
      <c r="J4" s="900"/>
      <c r="K4" s="900"/>
      <c r="L4" s="900"/>
    </row>
    <row r="5" spans="1:12" ht="15" thickBot="1">
      <c r="A5" s="902" t="s">
        <v>603</v>
      </c>
      <c r="B5" s="902"/>
      <c r="C5" s="902"/>
      <c r="D5" s="902"/>
      <c r="E5" s="902"/>
      <c r="F5" s="902"/>
      <c r="G5" s="902"/>
      <c r="H5" s="457"/>
      <c r="I5" s="457"/>
      <c r="J5" s="457"/>
      <c r="K5" s="457"/>
      <c r="L5" s="458"/>
    </row>
    <row r="6" spans="1:12">
      <c r="A6" s="210" t="s">
        <v>401</v>
      </c>
      <c r="B6" s="211"/>
      <c r="C6" s="211"/>
      <c r="D6" s="211"/>
      <c r="E6" s="211"/>
      <c r="F6" s="211"/>
      <c r="G6" s="212"/>
      <c r="H6" s="459" t="s">
        <v>408</v>
      </c>
      <c r="I6" s="459"/>
      <c r="J6" s="459"/>
      <c r="K6" s="459"/>
      <c r="L6" s="460"/>
    </row>
    <row r="7" spans="1:12">
      <c r="A7" s="213"/>
      <c r="B7" s="214"/>
      <c r="C7" s="214"/>
      <c r="D7" s="215"/>
      <c r="E7" s="216"/>
      <c r="F7" s="215"/>
      <c r="G7" s="217"/>
      <c r="H7" s="461" t="s">
        <v>90</v>
      </c>
      <c r="I7" s="459"/>
      <c r="J7" s="461" t="s">
        <v>409</v>
      </c>
      <c r="K7" s="462"/>
      <c r="L7" s="463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57"/>
      <c r="I8" s="457"/>
      <c r="J8" s="457"/>
      <c r="K8" s="457"/>
      <c r="L8" s="458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64">
        <v>1</v>
      </c>
      <c r="I9" s="457"/>
      <c r="J9" s="465" t="s">
        <v>411</v>
      </c>
      <c r="K9" s="457"/>
      <c r="L9" s="466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64"/>
      <c r="I10" s="457"/>
      <c r="J10" s="457"/>
      <c r="K10" s="457"/>
      <c r="L10" s="466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222">
        <f>ROUND(D11*E11,4)</f>
        <v>2.6800000000000001E-2</v>
      </c>
      <c r="G11" s="235"/>
      <c r="H11" s="464"/>
      <c r="I11" s="457"/>
      <c r="J11" s="467" t="s">
        <v>412</v>
      </c>
      <c r="K11" s="468"/>
      <c r="L11" s="466"/>
    </row>
    <row r="12" spans="1:12">
      <c r="A12" s="213"/>
      <c r="B12" s="218"/>
      <c r="C12" s="224"/>
      <c r="D12" s="222"/>
      <c r="E12" s="222"/>
      <c r="F12" s="222"/>
      <c r="G12" s="225"/>
      <c r="H12" s="464">
        <v>2</v>
      </c>
      <c r="I12" s="457"/>
      <c r="J12" s="468" t="s">
        <v>413</v>
      </c>
      <c r="K12" s="468"/>
      <c r="L12" s="468">
        <v>5.3530000000000001E-3</v>
      </c>
    </row>
    <row r="13" spans="1:12">
      <c r="A13" s="213"/>
      <c r="B13" s="218" t="s">
        <v>91</v>
      </c>
      <c r="C13" s="224"/>
      <c r="D13" s="222">
        <v>0.48499999999999999</v>
      </c>
      <c r="E13" s="222">
        <v>9.5000000000000001E-2</v>
      </c>
      <c r="F13" s="222">
        <f>ROUND(D13*E13,4)</f>
        <v>4.6100000000000002E-2</v>
      </c>
      <c r="G13" s="220"/>
      <c r="H13" s="464"/>
      <c r="I13" s="457"/>
      <c r="J13" s="468"/>
      <c r="K13" s="468"/>
      <c r="L13" s="468"/>
    </row>
    <row r="14" spans="1:12">
      <c r="A14" s="213"/>
      <c r="B14" s="218"/>
      <c r="C14" s="224"/>
      <c r="D14" s="226"/>
      <c r="E14" s="226"/>
      <c r="F14" s="222"/>
      <c r="G14" s="217"/>
      <c r="H14" s="464">
        <v>3</v>
      </c>
      <c r="I14" s="457"/>
      <c r="J14" s="468" t="s">
        <v>414</v>
      </c>
      <c r="K14" s="468"/>
      <c r="L14" s="468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64"/>
      <c r="I15" s="457"/>
      <c r="J15" s="468"/>
      <c r="K15" s="468"/>
      <c r="L15" s="468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64">
        <v>4</v>
      </c>
      <c r="I16" s="457"/>
      <c r="J16" s="468" t="s">
        <v>415</v>
      </c>
      <c r="K16" s="468"/>
      <c r="L16" s="468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64"/>
      <c r="I17" s="457"/>
      <c r="J17" s="468"/>
      <c r="K17" s="468"/>
      <c r="L17" s="468"/>
    </row>
    <row r="18" spans="1:21">
      <c r="A18" s="214"/>
      <c r="B18" s="218"/>
      <c r="C18" s="224"/>
      <c r="D18" s="222"/>
      <c r="E18" s="223"/>
      <c r="F18" s="222"/>
      <c r="G18" s="214"/>
      <c r="H18" s="464">
        <v>5</v>
      </c>
      <c r="I18" s="457"/>
      <c r="J18" s="468" t="s">
        <v>416</v>
      </c>
      <c r="K18" s="468"/>
      <c r="L18" s="469">
        <f>SUM(L12:L16)</f>
        <v>4.5879999999999997E-2</v>
      </c>
    </row>
    <row r="19" spans="1:21">
      <c r="H19" s="464"/>
      <c r="I19" s="457"/>
      <c r="J19" s="468"/>
      <c r="K19" s="468"/>
      <c r="L19" s="470"/>
    </row>
    <row r="20" spans="1:21">
      <c r="H20" s="464">
        <v>6</v>
      </c>
      <c r="I20" s="457"/>
      <c r="J20" s="468" t="s">
        <v>417</v>
      </c>
      <c r="K20" s="468"/>
      <c r="L20" s="470">
        <f>L9-L18</f>
        <v>0.95411999999999997</v>
      </c>
    </row>
    <row r="21" spans="1:21">
      <c r="H21" s="457"/>
      <c r="I21" s="457"/>
      <c r="J21" s="468"/>
      <c r="K21" s="468"/>
      <c r="L21" s="470"/>
      <c r="U21" s="545"/>
    </row>
    <row r="22" spans="1:21">
      <c r="H22" s="464">
        <v>7</v>
      </c>
      <c r="I22" s="457"/>
      <c r="J22" s="468" t="s">
        <v>418</v>
      </c>
      <c r="K22" s="471"/>
      <c r="L22" s="472">
        <f>ROUND(L20*0.35,6)</f>
        <v>0.33394200000000002</v>
      </c>
    </row>
    <row r="23" spans="1:21">
      <c r="H23" s="457"/>
      <c r="I23" s="457"/>
      <c r="J23" s="468"/>
      <c r="K23" s="468"/>
      <c r="L23" s="470"/>
    </row>
    <row r="24" spans="1:21" ht="15" thickBot="1">
      <c r="H24" s="464">
        <v>8</v>
      </c>
      <c r="I24" s="457"/>
      <c r="J24" s="467" t="s">
        <v>419</v>
      </c>
      <c r="K24" s="468"/>
      <c r="L24" s="754">
        <f>ROUND(L20-L22,5)</f>
        <v>0.62017999999999995</v>
      </c>
      <c r="M24" s="545"/>
    </row>
    <row r="25" spans="1:21" ht="15" thickTop="1"/>
    <row r="28" spans="1:21">
      <c r="A28" s="902" t="s">
        <v>117</v>
      </c>
      <c r="B28" s="902"/>
      <c r="C28" s="902"/>
      <c r="D28" s="902"/>
      <c r="E28" s="902"/>
      <c r="F28" s="902"/>
      <c r="G28" s="902"/>
    </row>
    <row r="29" spans="1:21">
      <c r="A29" s="904" t="s">
        <v>606</v>
      </c>
      <c r="B29" s="904"/>
      <c r="C29" s="904"/>
      <c r="D29" s="904"/>
      <c r="E29" s="904"/>
      <c r="F29" s="904"/>
      <c r="G29" s="904"/>
    </row>
    <row r="30" spans="1:21">
      <c r="A30" s="902" t="s">
        <v>272</v>
      </c>
      <c r="B30" s="902"/>
      <c r="C30" s="902"/>
      <c r="D30" s="902"/>
      <c r="E30" s="902"/>
      <c r="F30" s="902"/>
      <c r="G30" s="902"/>
    </row>
    <row r="31" spans="1:21" ht="15" thickBot="1">
      <c r="A31" s="902"/>
      <c r="B31" s="902"/>
      <c r="C31" s="902"/>
      <c r="D31" s="902"/>
      <c r="E31" s="902"/>
      <c r="F31" s="902"/>
      <c r="G31" s="902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74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55"/>
      <c r="I42" s="455"/>
      <c r="J42" s="455"/>
      <c r="K42" s="455"/>
      <c r="L42" s="456"/>
    </row>
    <row r="43" spans="1:21">
      <c r="A43" s="545"/>
      <c r="B43" s="545"/>
      <c r="C43" s="545"/>
      <c r="D43" s="545"/>
      <c r="E43" s="545"/>
      <c r="F43" s="545"/>
    </row>
    <row r="44" spans="1:21">
      <c r="A44" s="902"/>
      <c r="B44" s="902"/>
      <c r="C44" s="902"/>
      <c r="D44" s="902"/>
      <c r="E44" s="902"/>
      <c r="F44" s="902"/>
      <c r="G44" s="902"/>
    </row>
    <row r="48" spans="1:21">
      <c r="U48" s="185" t="s">
        <v>692</v>
      </c>
    </row>
    <row r="94" spans="21:21">
      <c r="U94" s="782" t="s">
        <v>693</v>
      </c>
    </row>
    <row r="104" spans="21:21">
      <c r="U104" s="782" t="s">
        <v>693</v>
      </c>
    </row>
    <row r="150" spans="21:21">
      <c r="U150" s="782" t="s">
        <v>693</v>
      </c>
    </row>
    <row r="164" spans="21:21">
      <c r="U164" s="782" t="s">
        <v>693</v>
      </c>
    </row>
    <row r="184" spans="14:21">
      <c r="N184" s="782"/>
      <c r="O184" s="782"/>
      <c r="P184" s="782"/>
      <c r="Q184" s="782"/>
      <c r="R184" s="782"/>
      <c r="S184" s="782"/>
      <c r="T184" s="782"/>
      <c r="U184" s="782" t="s">
        <v>693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scale="120" orientation="portrait" r:id="rId1"/>
  <headerFooter scaleWithDoc="0">
    <oddHeader>&amp;RExhibit No. __(EMA-6)</oddHeader>
    <oddFooter>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topLeftCell="D13" zoomScaleNormal="100" zoomScaleSheetLayoutView="80" workbookViewId="0">
      <selection activeCell="T49" sqref="T49"/>
    </sheetView>
  </sheetViews>
  <sheetFormatPr defaultColWidth="12.44140625" defaultRowHeight="11.1" customHeight="1"/>
  <cols>
    <col min="1" max="1" width="7.33203125" style="51" customWidth="1"/>
    <col min="2" max="2" width="2.44140625" style="51" customWidth="1"/>
    <col min="3" max="3" width="30.44140625" style="242" customWidth="1"/>
    <col min="4" max="4" width="1.33203125" style="48" customWidth="1"/>
    <col min="5" max="5" width="13" style="240" customWidth="1"/>
    <col min="6" max="6" width="13" style="184" customWidth="1"/>
    <col min="7" max="7" width="11.33203125" style="244" customWidth="1"/>
    <col min="8" max="8" width="13.44140625" style="244" bestFit="1" customWidth="1"/>
    <col min="9" max="9" width="12.5546875" style="245" customWidth="1"/>
    <col min="10" max="10" width="1.109375" style="245" customWidth="1"/>
    <col min="11" max="11" width="10" style="243" customWidth="1"/>
    <col min="12" max="12" width="0.88671875" style="243" customWidth="1"/>
    <col min="13" max="13" width="10.6640625" style="243" customWidth="1"/>
    <col min="14" max="14" width="12.44140625" style="242" customWidth="1"/>
    <col min="15" max="15" width="0.88671875" style="242" customWidth="1"/>
    <col min="16" max="16" width="12.6640625" style="51" customWidth="1"/>
    <col min="17" max="17" width="10.44140625" style="242" customWidth="1"/>
    <col min="18" max="19" width="13.44140625" style="242" customWidth="1"/>
    <col min="20" max="20" width="14.109375" style="242" customWidth="1"/>
    <col min="21" max="21" width="12.44140625" style="51"/>
    <col min="22" max="22" width="12.5546875" style="51" bestFit="1" customWidth="1"/>
    <col min="23" max="16384" width="12.44140625" style="51"/>
  </cols>
  <sheetData>
    <row r="1" spans="1:23" s="50" customFormat="1" ht="6" customHeight="1"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</row>
    <row r="2" spans="1:23" s="50" customFormat="1" ht="18" thickBot="1">
      <c r="A2" s="335" t="s">
        <v>96</v>
      </c>
      <c r="B2" s="913" t="s">
        <v>720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4"/>
      <c r="S2" s="914"/>
      <c r="T2" s="914"/>
    </row>
    <row r="3" spans="1:23" s="166" customFormat="1" ht="21" thickBot="1">
      <c r="B3" s="662"/>
      <c r="C3" s="648" t="s">
        <v>483</v>
      </c>
      <c r="D3" s="663"/>
      <c r="E3" s="907" t="s">
        <v>247</v>
      </c>
      <c r="F3" s="908"/>
      <c r="G3" s="908"/>
      <c r="H3" s="908"/>
      <c r="I3" s="909"/>
      <c r="J3" s="646"/>
      <c r="K3" s="647"/>
      <c r="L3" s="647"/>
      <c r="M3" s="648" t="s">
        <v>253</v>
      </c>
      <c r="N3" s="649"/>
      <c r="O3" s="650"/>
      <c r="P3" s="910" t="s">
        <v>685</v>
      </c>
      <c r="Q3" s="911"/>
      <c r="R3" s="915"/>
      <c r="S3" s="915"/>
      <c r="T3" s="752"/>
      <c r="W3" s="332"/>
    </row>
    <row r="4" spans="1:23" s="50" customFormat="1" ht="79.5" customHeight="1">
      <c r="A4" s="290" t="s">
        <v>246</v>
      </c>
      <c r="B4" s="52"/>
      <c r="C4" s="523" t="s">
        <v>4</v>
      </c>
      <c r="D4" s="328"/>
      <c r="E4" s="853" t="s">
        <v>751</v>
      </c>
      <c r="F4" s="855" t="s">
        <v>605</v>
      </c>
      <c r="G4" s="855" t="s">
        <v>716</v>
      </c>
      <c r="H4" s="854" t="s">
        <v>508</v>
      </c>
      <c r="I4" s="644" t="s">
        <v>675</v>
      </c>
      <c r="J4" s="644"/>
      <c r="K4" s="644" t="s">
        <v>421</v>
      </c>
      <c r="L4" s="644"/>
      <c r="M4" s="644" t="s">
        <v>577</v>
      </c>
      <c r="N4" s="645" t="s">
        <v>576</v>
      </c>
      <c r="O4" s="645"/>
      <c r="P4" s="645" t="s">
        <v>604</v>
      </c>
      <c r="Q4" s="645" t="s">
        <v>486</v>
      </c>
      <c r="R4" s="753" t="s">
        <v>746</v>
      </c>
      <c r="S4" s="886" t="s">
        <v>705</v>
      </c>
      <c r="T4" s="858" t="s">
        <v>753</v>
      </c>
    </row>
    <row r="5" spans="1:23" ht="15.6">
      <c r="A5" s="51" t="s">
        <v>502</v>
      </c>
      <c r="B5" s="47"/>
      <c r="C5" s="47"/>
      <c r="D5" s="86"/>
      <c r="E5" s="329" t="s">
        <v>121</v>
      </c>
      <c r="F5" s="675" t="s">
        <v>122</v>
      </c>
      <c r="G5" s="675" t="s">
        <v>283</v>
      </c>
      <c r="H5" s="281" t="s">
        <v>123</v>
      </c>
      <c r="I5" s="327" t="s">
        <v>284</v>
      </c>
      <c r="J5" s="49"/>
      <c r="K5" s="327" t="s">
        <v>285</v>
      </c>
      <c r="L5" s="50"/>
      <c r="M5" s="330" t="s">
        <v>286</v>
      </c>
      <c r="N5" s="330" t="s">
        <v>287</v>
      </c>
      <c r="O5" s="51"/>
      <c r="P5" s="330" t="s">
        <v>288</v>
      </c>
      <c r="Q5" s="330" t="s">
        <v>289</v>
      </c>
      <c r="R5" s="330" t="s">
        <v>400</v>
      </c>
      <c r="S5" s="330" t="s">
        <v>730</v>
      </c>
      <c r="T5" s="330" t="s">
        <v>731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887" t="s">
        <v>773</v>
      </c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878" t="s">
        <v>774</v>
      </c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874"/>
      <c r="T8" s="252">
        <f>I8+Q8</f>
        <v>934.09246003244448</v>
      </c>
      <c r="V8" s="529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53757</v>
      </c>
      <c r="Q9" s="248">
        <f>'incremental load expense'!E12</f>
        <v>-2595</v>
      </c>
      <c r="R9" s="253"/>
      <c r="S9" s="875"/>
      <c r="T9" s="253">
        <f>I9+P9+Q9</f>
        <v>51162</v>
      </c>
    </row>
    <row r="10" spans="1:23" ht="15.75" customHeight="1">
      <c r="A10" s="198">
        <v>4</v>
      </c>
      <c r="B10" s="204" t="s">
        <v>251</v>
      </c>
      <c r="C10" s="204"/>
      <c r="D10" s="86"/>
      <c r="E10" s="441">
        <f>SUM(E7:E9)</f>
        <v>550292</v>
      </c>
      <c r="F10" s="249">
        <f>F9+F8+F7</f>
        <v>-60998</v>
      </c>
      <c r="G10" s="443">
        <f>G9+G8+G7</f>
        <v>0</v>
      </c>
      <c r="H10" s="443">
        <f>H9+H8+H7</f>
        <v>10688</v>
      </c>
      <c r="I10" s="443">
        <f>I9+I8+I7</f>
        <v>499982</v>
      </c>
      <c r="J10" s="249"/>
      <c r="K10" s="251"/>
      <c r="L10" s="251"/>
      <c r="M10" s="252"/>
      <c r="N10" s="443">
        <f>N9+N8+N7</f>
        <v>499982</v>
      </c>
      <c r="O10" s="252"/>
      <c r="P10" s="252">
        <f>P7+P8+P9</f>
        <v>53757</v>
      </c>
      <c r="Q10" s="441">
        <f>Q7+Q8+Q9</f>
        <v>3962.4971279193942</v>
      </c>
      <c r="R10" s="252"/>
      <c r="S10" s="876"/>
      <c r="T10" s="252">
        <f>T7+T8+T9</f>
        <v>557701.49712791946</v>
      </c>
    </row>
    <row r="11" spans="1:23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25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875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41">
        <f>E10+E11</f>
        <v>567455</v>
      </c>
      <c r="F12" s="248">
        <f>F11+F10</f>
        <v>-74682</v>
      </c>
      <c r="G12" s="441">
        <f>G11+G10</f>
        <v>0</v>
      </c>
      <c r="H12" s="441">
        <f>H11+H10</f>
        <v>10688</v>
      </c>
      <c r="I12" s="443">
        <f>I10+I11</f>
        <v>503461</v>
      </c>
      <c r="J12" s="249"/>
      <c r="K12" s="251"/>
      <c r="L12" s="251"/>
      <c r="M12" s="248"/>
      <c r="N12" s="443">
        <f>N10+N11</f>
        <v>503461</v>
      </c>
      <c r="O12" s="248"/>
      <c r="P12" s="248">
        <f>P11+P10</f>
        <v>64286</v>
      </c>
      <c r="Q12" s="441">
        <f>Q11+Q10</f>
        <v>3962.4971279193942</v>
      </c>
      <c r="R12" s="248"/>
      <c r="S12" s="874"/>
      <c r="T12" s="248">
        <f>T11+T10</f>
        <v>571709.49712791946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874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874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874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67">
        <f>'Adj Operating Exp-2007-2014'!H10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89306</v>
      </c>
      <c r="Q16" s="248">
        <f>'incremental load expense'!E19</f>
        <v>0</v>
      </c>
      <c r="R16" s="850">
        <v>1089</v>
      </c>
      <c r="S16" s="874"/>
      <c r="T16" s="252">
        <f>N16+P16+Q16+R16</f>
        <v>144489.35019999999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75611</v>
      </c>
      <c r="Q17" s="248">
        <f>'incremental load expense'!E20</f>
        <v>1907</v>
      </c>
      <c r="R17" s="248"/>
      <c r="S17" s="874"/>
      <c r="T17" s="252">
        <f>N17+P17+Q17+R17</f>
        <v>77520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49">
        <f>'Dep-Amort'!B8</f>
        <v>9.500434404865335E-2</v>
      </c>
      <c r="L18" s="259"/>
      <c r="M18" s="249">
        <f>K18*I18</f>
        <v>2253.028019113814</v>
      </c>
      <c r="N18" s="252">
        <f>M18+I18</f>
        <v>25968.028019113815</v>
      </c>
      <c r="O18" s="252"/>
      <c r="P18" s="248">
        <v>0</v>
      </c>
      <c r="Q18" s="248"/>
      <c r="R18" s="248"/>
      <c r="S18" s="874"/>
      <c r="T18" s="252">
        <f>N18+P18+Q18+R18</f>
        <v>25968.028019113815</v>
      </c>
      <c r="U18" s="53"/>
      <c r="V18" s="184"/>
      <c r="W18" s="53"/>
      <c r="X18" s="642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50">
        <f>-1382-2027</f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874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49">
        <f>'Adj Taxes'!B8</f>
        <v>0.10989245631851678</v>
      </c>
      <c r="L20" s="256"/>
      <c r="M20" s="254">
        <f>K20*I20</f>
        <v>1409.7004296539333</v>
      </c>
      <c r="N20" s="253">
        <f>M20+I20</f>
        <v>14237.700429653933</v>
      </c>
      <c r="O20" s="253"/>
      <c r="P20" s="253"/>
      <c r="Q20" s="253"/>
      <c r="R20" s="253"/>
      <c r="S20" s="875"/>
      <c r="T20" s="253">
        <f>N20+P20+Q20+R20</f>
        <v>14237.700429653933</v>
      </c>
      <c r="U20" s="53"/>
      <c r="W20" s="532"/>
    </row>
    <row r="21" spans="1:24" ht="15.75" customHeight="1">
      <c r="A21" s="198">
        <v>12</v>
      </c>
      <c r="B21" s="204"/>
      <c r="C21" s="789" t="s">
        <v>241</v>
      </c>
      <c r="D21" s="86"/>
      <c r="E21" s="441">
        <f>SUM(E16:E20)</f>
        <v>281594</v>
      </c>
      <c r="F21" s="249">
        <f>F16+F17+F18+F19+F20</f>
        <v>-186117</v>
      </c>
      <c r="G21" s="443">
        <f>G16+G17+G18+G19+G20</f>
        <v>-3409</v>
      </c>
      <c r="H21" s="443">
        <f>H16+H17+H18+H19+H20</f>
        <v>0</v>
      </c>
      <c r="I21" s="443">
        <f>I16+I17+I18+I19+I20</f>
        <v>92068</v>
      </c>
      <c r="J21" s="249"/>
      <c r="K21" s="251"/>
      <c r="L21" s="251"/>
      <c r="M21" s="249">
        <f>M16+M17+M18+M19+M20</f>
        <v>6926.0786487677478</v>
      </c>
      <c r="N21" s="249">
        <f>N16+N17+N18+N19+N20</f>
        <v>98994.078648767754</v>
      </c>
      <c r="O21" s="249"/>
      <c r="P21" s="249">
        <f>P16+P17+P18+P19+P20</f>
        <v>164917</v>
      </c>
      <c r="Q21" s="249">
        <f>Q16+Q17+Q18+Q19+Q20</f>
        <v>1907</v>
      </c>
      <c r="R21" s="249">
        <f>R16+R17+R18+R19+R20</f>
        <v>1089</v>
      </c>
      <c r="S21" s="877"/>
      <c r="T21" s="249">
        <f>T16+T17+T18+T19+T20</f>
        <v>266907.07864876773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874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874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874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9.500434404865335E-2</v>
      </c>
      <c r="L25" s="251"/>
      <c r="M25" s="249">
        <f>K25*I25</f>
        <v>2260.5333622936578</v>
      </c>
      <c r="N25" s="252">
        <f>M25+I25</f>
        <v>26054.53336229366</v>
      </c>
      <c r="O25" s="252"/>
      <c r="P25" s="248"/>
      <c r="Q25" s="248"/>
      <c r="R25" s="248"/>
      <c r="S25" s="874"/>
      <c r="T25" s="252">
        <f>N25+P25+Q25+R25</f>
        <v>26054.53336229366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874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0.10989245631851678</v>
      </c>
      <c r="L27" s="256"/>
      <c r="M27" s="254">
        <f>K27*I27</f>
        <v>2855.7752623492956</v>
      </c>
      <c r="N27" s="253">
        <f>M27+I27</f>
        <v>28842.775262349296</v>
      </c>
      <c r="O27" s="253"/>
      <c r="P27" s="253"/>
      <c r="Q27" s="248">
        <f>'incremental load expense'!E29</f>
        <v>252.1748056396805</v>
      </c>
      <c r="R27" s="253"/>
      <c r="S27" s="875"/>
      <c r="T27" s="253">
        <f>N27+P27+Q27+R27</f>
        <v>29094.950067988975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41">
        <f>SUM(E24:E27)</f>
        <v>70668</v>
      </c>
      <c r="F28" s="262"/>
      <c r="G28" s="443">
        <f>G24+G25+G27</f>
        <v>0</v>
      </c>
      <c r="H28" s="443">
        <f>H24+H25+H27</f>
        <v>412</v>
      </c>
      <c r="I28" s="443">
        <f>SUM(I24:I27)</f>
        <v>71080</v>
      </c>
      <c r="J28" s="249"/>
      <c r="K28" s="251"/>
      <c r="L28" s="251"/>
      <c r="M28" s="249">
        <f>M24+M25+M27</f>
        <v>6483.7044246429532</v>
      </c>
      <c r="N28" s="249">
        <f>N24+N25+N27</f>
        <v>77563.704424642958</v>
      </c>
      <c r="O28" s="249"/>
      <c r="P28" s="249">
        <f>P24+P25+P27</f>
        <v>0</v>
      </c>
      <c r="Q28" s="443">
        <f>Q24+Q25+Q27</f>
        <v>252.1748056396805</v>
      </c>
      <c r="R28" s="443">
        <f>R24+R25+R27</f>
        <v>0</v>
      </c>
      <c r="S28" s="878"/>
      <c r="T28" s="249">
        <f>T24+T25+T27</f>
        <v>77815.879230282633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874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874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874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874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874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874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874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9.500434404865335E-2</v>
      </c>
      <c r="L36" s="251"/>
      <c r="M36" s="249">
        <f>K36*I36</f>
        <v>1610.0386185925283</v>
      </c>
      <c r="N36" s="252">
        <f>M36+I36</f>
        <v>18557.038618592527</v>
      </c>
      <c r="O36" s="252"/>
      <c r="P36" s="248"/>
      <c r="Q36" s="248"/>
      <c r="R36" s="248"/>
      <c r="S36" s="879"/>
      <c r="T36" s="252">
        <f>N36+P36+Q36+S36</f>
        <v>18557.038618592527</v>
      </c>
      <c r="U36" s="53"/>
      <c r="V36" s="53"/>
      <c r="W36" s="184"/>
      <c r="X36" s="532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0.10989245631851678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875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789" t="s">
        <v>709</v>
      </c>
      <c r="D38" s="86"/>
      <c r="E38" s="441">
        <f>SUM(E35:E37)</f>
        <v>63157</v>
      </c>
      <c r="F38" s="249">
        <f>F35+F36+F37</f>
        <v>0</v>
      </c>
      <c r="G38" s="449">
        <f>G35+G36+G37</f>
        <v>0</v>
      </c>
      <c r="H38" s="449">
        <f>H35+H36+H37</f>
        <v>21</v>
      </c>
      <c r="I38" s="449">
        <f>I35+I36+I37</f>
        <v>63178</v>
      </c>
      <c r="J38" s="249"/>
      <c r="K38" s="251"/>
      <c r="L38" s="251"/>
      <c r="M38" s="249">
        <f>M35+M36+M37</f>
        <v>4578.0688185925283</v>
      </c>
      <c r="N38" s="249">
        <f>N35+N36+N37</f>
        <v>67756.068818592525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877"/>
      <c r="T38" s="249">
        <f>T35+T36+T37</f>
        <v>67769.159627928297</v>
      </c>
    </row>
    <row r="39" spans="1:24" ht="15.75" customHeight="1">
      <c r="A39" s="198">
        <v>24</v>
      </c>
      <c r="B39" s="204" t="s">
        <v>67</v>
      </c>
      <c r="C39" s="200"/>
      <c r="D39" s="86"/>
      <c r="E39" s="441">
        <f>E21+E28+E30+E31+E32+E38</f>
        <v>427968</v>
      </c>
      <c r="F39" s="441">
        <f>F21+F28+F30+F31+F32+F38</f>
        <v>-186117</v>
      </c>
      <c r="G39" s="441">
        <f>G21+G28+G30+G31+G32+G38</f>
        <v>-3409</v>
      </c>
      <c r="H39" s="441">
        <f>H21+H28+H30+H31+H32+H38</f>
        <v>490</v>
      </c>
      <c r="I39" s="441">
        <f>I21+I28+I30+I31+I32+I38</f>
        <v>238932</v>
      </c>
      <c r="J39" s="441"/>
      <c r="K39" s="440"/>
      <c r="L39" s="440"/>
      <c r="M39" s="441">
        <f>M21+M28+M30+M31+M32+M38</f>
        <v>18797.157092003228</v>
      </c>
      <c r="N39" s="441">
        <f>N21+N28+N30+N31+N32+N38</f>
        <v>257729.15709200324</v>
      </c>
      <c r="O39" s="441"/>
      <c r="P39" s="441">
        <f>P21+P28+P30+P31+P32+P38</f>
        <v>164917</v>
      </c>
      <c r="Q39" s="441">
        <f>Q21+Q28+Q30+Q31+Q32+Q38</f>
        <v>2207.3031661626533</v>
      </c>
      <c r="R39" s="441">
        <f>R21+R28+R30+R31+R32+R38</f>
        <v>1089</v>
      </c>
      <c r="S39" s="880"/>
      <c r="T39" s="441">
        <f>T21+T28+T30+T31+T32+T38</f>
        <v>425942.46025816584</v>
      </c>
      <c r="U39" s="53"/>
      <c r="W39" s="53"/>
      <c r="X39" s="640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874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-18797.157092003228</v>
      </c>
      <c r="N41" s="248">
        <f>N12-N39</f>
        <v>245731.84290799676</v>
      </c>
      <c r="O41" s="248">
        <f t="shared" si="0"/>
        <v>0</v>
      </c>
      <c r="P41" s="248">
        <f t="shared" si="0"/>
        <v>-100631</v>
      </c>
      <c r="Q41" s="248">
        <f t="shared" si="0"/>
        <v>1755.1939617567409</v>
      </c>
      <c r="R41" s="248">
        <f t="shared" si="0"/>
        <v>-1089</v>
      </c>
      <c r="S41" s="874"/>
      <c r="T41" s="248">
        <f>T12-T39</f>
        <v>145767.03686975362</v>
      </c>
      <c r="U41" s="53"/>
    </row>
    <row r="42" spans="1:24" ht="15.75" customHeight="1">
      <c r="A42" s="198"/>
      <c r="B42" s="204"/>
      <c r="C42" s="52" t="s">
        <v>752</v>
      </c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" thickBot="1">
      <c r="A44" s="335" t="s">
        <v>96</v>
      </c>
      <c r="B44" s="913" t="str">
        <f>B2</f>
        <v>2016  ELECTRIC ATTRITION REVENUE REQUIREMENT</v>
      </c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4"/>
      <c r="S44" s="914"/>
      <c r="T44" s="914"/>
    </row>
    <row r="45" spans="1:24" s="166" customFormat="1" ht="21" thickBot="1">
      <c r="A45" s="333"/>
      <c r="B45" s="662"/>
      <c r="C45" s="648" t="s">
        <v>483</v>
      </c>
      <c r="D45" s="663"/>
      <c r="E45" s="907" t="s">
        <v>247</v>
      </c>
      <c r="F45" s="908"/>
      <c r="G45" s="908"/>
      <c r="H45" s="908"/>
      <c r="I45" s="909"/>
      <c r="J45" s="660"/>
      <c r="K45" s="661"/>
      <c r="L45" s="661"/>
      <c r="M45" s="648" t="s">
        <v>253</v>
      </c>
      <c r="N45" s="649"/>
      <c r="O45" s="650"/>
      <c r="P45" s="910" t="s">
        <v>684</v>
      </c>
      <c r="Q45" s="911"/>
      <c r="R45" s="750"/>
      <c r="S45" s="785"/>
      <c r="T45" s="752"/>
      <c r="V45" s="334"/>
    </row>
    <row r="46" spans="1:24" s="50" customFormat="1" ht="83.25" customHeight="1">
      <c r="A46" s="290" t="s">
        <v>246</v>
      </c>
      <c r="B46" s="52"/>
      <c r="C46" s="191"/>
      <c r="D46" s="328"/>
      <c r="E46" s="853" t="s">
        <v>751</v>
      </c>
      <c r="F46" s="856" t="str">
        <f t="shared" ref="F46:S46" si="1">F4</f>
        <v>(less) 12.2014 Normalized Net Power Supply  Cost</v>
      </c>
      <c r="G46" s="855" t="s">
        <v>716</v>
      </c>
      <c r="H46" s="856" t="str">
        <f t="shared" si="1"/>
        <v>Pro Forma Revenue Normalization Adjustment</v>
      </c>
      <c r="I46" s="856" t="str">
        <f t="shared" si="1"/>
        <v>December 2014 Escalation Base</v>
      </c>
      <c r="J46" s="856">
        <f t="shared" si="1"/>
        <v>0</v>
      </c>
      <c r="K46" s="856" t="str">
        <f t="shared" si="1"/>
        <v>Escalation Factor</v>
      </c>
      <c r="L46" s="856">
        <f t="shared" si="1"/>
        <v>0</v>
      </c>
      <c r="M46" s="856" t="str">
        <f t="shared" si="1"/>
        <v xml:space="preserve"> Non-Energy Cost Escalation Amount [E]*[F]=[G]</v>
      </c>
      <c r="N46" s="856" t="str">
        <f t="shared" si="1"/>
        <v>Trended 2016 Non-Energy Cost [E]+[G]=[H]</v>
      </c>
      <c r="O46" s="856">
        <f t="shared" si="1"/>
        <v>0</v>
      </c>
      <c r="P46" s="856" t="str">
        <f t="shared" si="1"/>
        <v>(plus) 12.2014 Pro-Formed Net Energy Cost</v>
      </c>
      <c r="Q46" s="856" t="str">
        <f t="shared" si="1"/>
        <v>(plus)  Revenue Growth</v>
      </c>
      <c r="R46" s="857" t="s">
        <v>746</v>
      </c>
      <c r="S46" s="885" t="str">
        <f t="shared" si="1"/>
        <v>After Attrition Adj - Project Compass</v>
      </c>
      <c r="T46" s="858" t="s">
        <v>753</v>
      </c>
    </row>
    <row r="47" spans="1:24" ht="16.95" customHeight="1">
      <c r="B47" s="47"/>
      <c r="C47" s="47"/>
      <c r="D47" s="86"/>
      <c r="E47" s="329" t="str">
        <f>E5</f>
        <v>[A]</v>
      </c>
      <c r="F47" s="329" t="str">
        <f t="shared" ref="F47:T47" si="2">F5</f>
        <v>[B]</v>
      </c>
      <c r="G47" s="329" t="str">
        <f t="shared" si="2"/>
        <v>[C]</v>
      </c>
      <c r="H47" s="329" t="str">
        <f t="shared" si="2"/>
        <v>[D]</v>
      </c>
      <c r="I47" s="329" t="str">
        <f t="shared" si="2"/>
        <v>[E]</v>
      </c>
      <c r="J47" s="329">
        <f t="shared" si="2"/>
        <v>0</v>
      </c>
      <c r="K47" s="329" t="str">
        <f t="shared" si="2"/>
        <v>[F]</v>
      </c>
      <c r="L47" s="329">
        <f t="shared" si="2"/>
        <v>0</v>
      </c>
      <c r="M47" s="329" t="str">
        <f t="shared" si="2"/>
        <v>[G]</v>
      </c>
      <c r="N47" s="329" t="str">
        <f t="shared" si="2"/>
        <v>[H]</v>
      </c>
      <c r="O47" s="329">
        <f t="shared" si="2"/>
        <v>0</v>
      </c>
      <c r="P47" s="329" t="str">
        <f t="shared" si="2"/>
        <v>[I]</v>
      </c>
      <c r="Q47" s="329" t="str">
        <f t="shared" si="2"/>
        <v>[J]</v>
      </c>
      <c r="R47" s="329" t="str">
        <f t="shared" si="2"/>
        <v>[K]</v>
      </c>
      <c r="S47" s="330" t="s">
        <v>730</v>
      </c>
      <c r="T47" s="329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874"/>
      <c r="T48" s="265"/>
    </row>
    <row r="49" spans="1:24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36">
        <f>ROUND(F41*0.35,0)</f>
        <v>39002</v>
      </c>
      <c r="G49" s="336">
        <f>ROUND(G41*0.35,0)</f>
        <v>1193</v>
      </c>
      <c r="H49" s="336">
        <f>ROUND(H41*0.35,0)</f>
        <v>3569</v>
      </c>
      <c r="I49" s="249">
        <f>SUM(E49:H49)</f>
        <v>36081</v>
      </c>
      <c r="J49" s="249"/>
      <c r="K49" s="251"/>
      <c r="L49" s="251"/>
      <c r="M49" s="336">
        <f>M41*0.35</f>
        <v>-6579.0049822011297</v>
      </c>
      <c r="N49" s="266">
        <f>I49+M49</f>
        <v>29501.995017798872</v>
      </c>
      <c r="O49" s="266"/>
      <c r="P49" s="267">
        <f>0.35*P41</f>
        <v>-35220.85</v>
      </c>
      <c r="Q49" s="267">
        <f>0.35*Q41</f>
        <v>614.31788661485928</v>
      </c>
      <c r="R49" s="267">
        <f>0.35*R41</f>
        <v>-381.15</v>
      </c>
      <c r="S49" s="881"/>
      <c r="T49" s="266">
        <f>N49+P49+Q49+R49+S49</f>
        <v>-5485.6870955862669</v>
      </c>
    </row>
    <row r="50" spans="1:24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36">
        <f>(ROR!F11*-0.35*M79)+(ROR!F11-ROR!F37)*I79*-0.35</f>
        <v>-159.9525926249608</v>
      </c>
      <c r="N50" s="266">
        <f>I50+M50</f>
        <v>-235.84009262496079</v>
      </c>
      <c r="O50" s="266"/>
      <c r="P50" s="267"/>
      <c r="Q50" s="267"/>
      <c r="R50" s="267"/>
      <c r="S50" s="879"/>
      <c r="T50" s="865">
        <f>N50+P50+Q50+S50</f>
        <v>-235.84009262496079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74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874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874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42">
        <f>E41-E49-E50-E51-E52</f>
        <v>101349</v>
      </c>
      <c r="F54" s="442">
        <f>F41-F49-F50-F51-F52</f>
        <v>72433</v>
      </c>
      <c r="G54" s="442">
        <f t="shared" ref="G54:I54" si="3">G41-G49-G50-G51-G52</f>
        <v>2155.8874999999998</v>
      </c>
      <c r="H54" s="442">
        <f t="shared" si="3"/>
        <v>6629</v>
      </c>
      <c r="I54" s="442">
        <f t="shared" si="3"/>
        <v>182566.88750000001</v>
      </c>
      <c r="J54" s="442"/>
      <c r="K54" s="442"/>
      <c r="L54" s="442"/>
      <c r="M54" s="442">
        <f t="shared" ref="M54:R54" si="4">M41-M49-M50-M51-M52</f>
        <v>-12058.199517177138</v>
      </c>
      <c r="N54" s="442">
        <f t="shared" si="4"/>
        <v>170508.68798282286</v>
      </c>
      <c r="O54" s="442"/>
      <c r="P54" s="442">
        <f t="shared" si="4"/>
        <v>-65410.15</v>
      </c>
      <c r="Q54" s="442">
        <f t="shared" si="4"/>
        <v>1140.8760751418818</v>
      </c>
      <c r="R54" s="442">
        <f t="shared" si="4"/>
        <v>-707.85</v>
      </c>
      <c r="S54" s="882"/>
      <c r="T54" s="442">
        <f>T41-T49-T50-T51-T52</f>
        <v>105531.56405796486</v>
      </c>
      <c r="U54" s="53"/>
      <c r="X54" s="53"/>
    </row>
    <row r="55" spans="1:24" ht="3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874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74"/>
      <c r="T56" s="51"/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874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67">
        <f>'Net Plant'!H8</f>
        <v>4.050864937271266E-2</v>
      </c>
      <c r="L58" s="251"/>
      <c r="M58" s="249">
        <f>I58*K58</f>
        <v>4156.9975986277732</v>
      </c>
      <c r="N58" s="252">
        <f>I58+M58</f>
        <v>106776.99759862777</v>
      </c>
      <c r="O58" s="252"/>
      <c r="P58" s="248"/>
      <c r="Q58" s="248"/>
      <c r="R58" s="248"/>
      <c r="S58" s="879"/>
      <c r="T58" s="850">
        <f>N58+S58</f>
        <v>106776.99759862777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4.050864937271266E-2</v>
      </c>
      <c r="L59" s="251"/>
      <c r="M59" s="249">
        <f>I59*K59</f>
        <v>30223.543805630288</v>
      </c>
      <c r="N59" s="252">
        <f>I59+M59</f>
        <v>776324.5438056303</v>
      </c>
      <c r="O59" s="252"/>
      <c r="P59" s="248"/>
      <c r="Q59" s="248"/>
      <c r="R59" s="248"/>
      <c r="S59" s="874"/>
      <c r="T59" s="252">
        <f>N59</f>
        <v>776324.5438056303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4.050864937271266E-2</v>
      </c>
      <c r="L60" s="251"/>
      <c r="M60" s="249">
        <f>I60*K60</f>
        <v>15068.042815817302</v>
      </c>
      <c r="N60" s="252">
        <f>I60+M60</f>
        <v>387039.04281581729</v>
      </c>
      <c r="O60" s="252"/>
      <c r="P60" s="248"/>
      <c r="Q60" s="248"/>
      <c r="R60" s="248"/>
      <c r="S60" s="874"/>
      <c r="T60" s="252">
        <f>N60</f>
        <v>387039.04281581729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f>$K$58</f>
        <v>4.050864937271266E-2</v>
      </c>
      <c r="L61" s="251"/>
      <c r="M61" s="249">
        <f>I61*K61</f>
        <v>34140.487148075365</v>
      </c>
      <c r="N61" s="252">
        <f>I61+M61</f>
        <v>876935.48714807536</v>
      </c>
      <c r="O61" s="252"/>
      <c r="P61" s="248"/>
      <c r="Q61" s="248"/>
      <c r="R61" s="248"/>
      <c r="S61" s="874"/>
      <c r="T61" s="252">
        <f>N61</f>
        <v>876935.48714807536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4.050864937271266E-2</v>
      </c>
      <c r="L62" s="256"/>
      <c r="M62" s="254">
        <f>I62*K62</f>
        <v>7974.8162760578234</v>
      </c>
      <c r="N62" s="253">
        <f>I62+M62</f>
        <v>204841.81627605783</v>
      </c>
      <c r="O62" s="253"/>
      <c r="P62" s="253"/>
      <c r="Q62" s="253"/>
      <c r="R62" s="253"/>
      <c r="S62" s="875"/>
      <c r="T62" s="253">
        <f>N62+S62</f>
        <v>204841.81627605783</v>
      </c>
    </row>
    <row r="63" spans="1:24" ht="15.75" customHeight="1">
      <c r="A63" s="198">
        <v>37</v>
      </c>
      <c r="B63" s="204"/>
      <c r="C63" s="204" t="s">
        <v>252</v>
      </c>
      <c r="D63" s="86"/>
      <c r="E63" s="441">
        <f>SUM(E58:E62)</f>
        <v>2260354</v>
      </c>
      <c r="F63" s="441">
        <f t="shared" ref="F63:H63" si="5">SUM(F58:F62)</f>
        <v>0</v>
      </c>
      <c r="G63" s="441">
        <f t="shared" si="5"/>
        <v>0</v>
      </c>
      <c r="H63" s="441">
        <f t="shared" si="5"/>
        <v>0</v>
      </c>
      <c r="I63" s="443">
        <f>SUM(I58:I62)</f>
        <v>2260354</v>
      </c>
      <c r="J63" s="249"/>
      <c r="K63" s="440"/>
      <c r="L63" s="251"/>
      <c r="M63" s="249">
        <f>SUM(M58:M62)</f>
        <v>91563.88764420856</v>
      </c>
      <c r="N63" s="249">
        <f>SUM(N58:N62)</f>
        <v>2351917.8876442085</v>
      </c>
      <c r="O63" s="252"/>
      <c r="P63" s="248"/>
      <c r="Q63" s="248"/>
      <c r="R63" s="248"/>
      <c r="S63" s="877"/>
      <c r="T63" s="249">
        <f>SUM(T58:T62)</f>
        <v>2351917.8876442085</v>
      </c>
      <c r="V63" s="184"/>
    </row>
    <row r="64" spans="1:24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874"/>
      <c r="T64" s="252">
        <f t="shared" ref="T64:T68" si="6">N64</f>
        <v>0</v>
      </c>
    </row>
    <row r="65" spans="1:25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4.050864937271266E-2</v>
      </c>
      <c r="L65" s="251"/>
      <c r="M65" s="249">
        <f>I65*K65</f>
        <v>-819.97608060244966</v>
      </c>
      <c r="N65" s="252">
        <f>I65+M65</f>
        <v>-21061.97608060245</v>
      </c>
      <c r="O65" s="252"/>
      <c r="P65" s="248"/>
      <c r="Q65" s="248"/>
      <c r="R65" s="248"/>
      <c r="S65" s="879"/>
      <c r="T65" s="850">
        <f>N65+S65</f>
        <v>-21061.97608060245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4.050864937271266E-2</v>
      </c>
      <c r="L66" s="251"/>
      <c r="M66" s="249">
        <f>I66*K66</f>
        <v>-13186.821138948524</v>
      </c>
      <c r="N66" s="252">
        <f>I66+M66</f>
        <v>-338717.82113894855</v>
      </c>
      <c r="O66" s="252"/>
      <c r="P66" s="248"/>
      <c r="Q66" s="248"/>
      <c r="R66" s="248"/>
      <c r="S66" s="874"/>
      <c r="T66" s="252">
        <f t="shared" si="6"/>
        <v>-338717.82113894855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4.050864937271266E-2</v>
      </c>
      <c r="L67" s="251"/>
      <c r="M67" s="249">
        <f>I67*K67</f>
        <v>-5017.7658891485444</v>
      </c>
      <c r="N67" s="252">
        <f>I67+M67</f>
        <v>-128886.76588914855</v>
      </c>
      <c r="O67" s="252"/>
      <c r="P67" s="248"/>
      <c r="Q67" s="248"/>
      <c r="R67" s="248"/>
      <c r="S67" s="874"/>
      <c r="T67" s="252">
        <f t="shared" si="6"/>
        <v>-128886.76588914855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$K$58</f>
        <v>4.050864937271266E-2</v>
      </c>
      <c r="L68" s="251"/>
      <c r="M68" s="249">
        <f>I68*K68</f>
        <v>-10237.426886770689</v>
      </c>
      <c r="N68" s="252">
        <f>I68+M68</f>
        <v>-262959.4268867707</v>
      </c>
      <c r="O68" s="252"/>
      <c r="P68" s="248"/>
      <c r="Q68" s="248"/>
      <c r="R68" s="248"/>
      <c r="S68" s="874"/>
      <c r="T68" s="252">
        <f t="shared" si="6"/>
        <v>-262959.4268867707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4.050864937271266E-2</v>
      </c>
      <c r="L69" s="256"/>
      <c r="M69" s="254">
        <f>I69*K69</f>
        <v>-2662.2284367746761</v>
      </c>
      <c r="N69" s="253">
        <f>I69+M69</f>
        <v>-68382.228436774676</v>
      </c>
      <c r="O69" s="253"/>
      <c r="P69" s="253"/>
      <c r="Q69" s="253"/>
      <c r="R69" s="253"/>
      <c r="S69" s="875"/>
      <c r="T69" s="253">
        <f>N69+S69</f>
        <v>-68382.228436774676</v>
      </c>
    </row>
    <row r="70" spans="1:25" ht="30.75" customHeight="1">
      <c r="A70" s="198">
        <v>43</v>
      </c>
      <c r="B70" s="204"/>
      <c r="C70" s="201" t="s">
        <v>290</v>
      </c>
      <c r="D70" s="91"/>
      <c r="E70" s="441">
        <f>SUM(E65:E69)</f>
        <v>-788084</v>
      </c>
      <c r="F70" s="441">
        <f t="shared" ref="F70:H70" si="7">SUM(F65:F69)</f>
        <v>0</v>
      </c>
      <c r="G70" s="441">
        <f t="shared" si="7"/>
        <v>0</v>
      </c>
      <c r="H70" s="441">
        <f t="shared" si="7"/>
        <v>0</v>
      </c>
      <c r="I70" s="443">
        <f>SUM(I65:I69)</f>
        <v>-788084</v>
      </c>
      <c r="J70" s="249"/>
      <c r="K70" s="440"/>
      <c r="L70" s="251"/>
      <c r="M70" s="269">
        <f>SUM(M65:M69)</f>
        <v>-31924.218432244885</v>
      </c>
      <c r="N70" s="269">
        <f>SUM(N65:N69)</f>
        <v>-820008.21843224496</v>
      </c>
      <c r="O70" s="252"/>
      <c r="P70" s="248"/>
      <c r="Q70" s="248"/>
      <c r="R70" s="248"/>
      <c r="S70" s="878"/>
      <c r="T70" s="269">
        <f>SUM(T65:T69)</f>
        <v>-820008.21843224496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874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41">
        <f>E63+E70</f>
        <v>1472270</v>
      </c>
      <c r="F72" s="441">
        <f t="shared" ref="F72:T72" si="8">F63+F70</f>
        <v>0</v>
      </c>
      <c r="G72" s="441">
        <f t="shared" si="8"/>
        <v>0</v>
      </c>
      <c r="H72" s="441">
        <f t="shared" si="8"/>
        <v>0</v>
      </c>
      <c r="I72" s="441">
        <f t="shared" si="8"/>
        <v>1472270</v>
      </c>
      <c r="J72" s="441">
        <f t="shared" si="8"/>
        <v>0</v>
      </c>
      <c r="K72" s="441">
        <f t="shared" si="8"/>
        <v>0</v>
      </c>
      <c r="L72" s="441">
        <f t="shared" si="8"/>
        <v>0</v>
      </c>
      <c r="M72" s="441">
        <f t="shared" si="8"/>
        <v>59639.669211963672</v>
      </c>
      <c r="N72" s="441">
        <f t="shared" si="8"/>
        <v>1531909.6692119637</v>
      </c>
      <c r="O72" s="441">
        <f t="shared" si="8"/>
        <v>0</v>
      </c>
      <c r="P72" s="441"/>
      <c r="Q72" s="441"/>
      <c r="R72" s="441">
        <f t="shared" si="8"/>
        <v>0</v>
      </c>
      <c r="S72" s="880"/>
      <c r="T72" s="441">
        <f t="shared" si="8"/>
        <v>1531909.6692119637</v>
      </c>
      <c r="W72" s="184"/>
    </row>
    <row r="73" spans="1:25" ht="12.75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874"/>
      <c r="T73" s="252"/>
    </row>
    <row r="74" spans="1:25" ht="13.5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4.050864937271266E-2</v>
      </c>
      <c r="L74" s="259"/>
      <c r="M74" s="249">
        <f>K74*I74</f>
        <v>-10441.752514206652</v>
      </c>
      <c r="N74" s="252">
        <f>M74+I74</f>
        <v>-268207.75251420663</v>
      </c>
      <c r="O74" s="252"/>
      <c r="P74" s="248"/>
      <c r="Q74" s="248"/>
      <c r="R74" s="248"/>
      <c r="S74" s="879"/>
      <c r="T74" s="252">
        <f>N74+S74</f>
        <v>-268207.75251420663</v>
      </c>
      <c r="V74" s="658"/>
      <c r="W74" s="641"/>
    </row>
    <row r="75" spans="1:25" ht="15.75" customHeight="1" thickBot="1">
      <c r="A75" s="198">
        <v>46</v>
      </c>
      <c r="B75" s="204"/>
      <c r="C75" s="204" t="s">
        <v>291</v>
      </c>
      <c r="D75" s="90"/>
      <c r="E75" s="441">
        <f>E72+E74</f>
        <v>1214504</v>
      </c>
      <c r="F75" s="441">
        <f t="shared" ref="F75:N75" si="9">F72+F74</f>
        <v>0</v>
      </c>
      <c r="G75" s="441">
        <f>G72+G74</f>
        <v>0</v>
      </c>
      <c r="H75" s="441">
        <f t="shared" si="9"/>
        <v>0</v>
      </c>
      <c r="I75" s="441">
        <f t="shared" si="9"/>
        <v>1214504</v>
      </c>
      <c r="J75" s="441">
        <f t="shared" si="9"/>
        <v>0</v>
      </c>
      <c r="K75" s="441">
        <f t="shared" si="9"/>
        <v>4.050864937271266E-2</v>
      </c>
      <c r="L75" s="441">
        <f t="shared" si="9"/>
        <v>0</v>
      </c>
      <c r="M75" s="441">
        <f t="shared" si="9"/>
        <v>49197.91669775702</v>
      </c>
      <c r="N75" s="441">
        <f t="shared" si="9"/>
        <v>1263701.9166977571</v>
      </c>
      <c r="O75" s="441"/>
      <c r="P75" s="441"/>
      <c r="Q75" s="441"/>
      <c r="R75" s="441"/>
      <c r="S75" s="880"/>
      <c r="T75" s="441">
        <f>T72+T74</f>
        <v>1263701.9166977571</v>
      </c>
      <c r="U75" s="53"/>
      <c r="V75" s="53"/>
      <c r="W75" s="184"/>
      <c r="X75" s="642"/>
      <c r="Y75" s="642"/>
    </row>
    <row r="76" spans="1:25" ht="15.75" customHeight="1" thickBot="1">
      <c r="A76" s="198">
        <v>47</v>
      </c>
      <c r="B76" s="204" t="s">
        <v>245</v>
      </c>
      <c r="C76" s="204"/>
      <c r="D76" s="86"/>
      <c r="E76" s="260">
        <v>10846</v>
      </c>
      <c r="F76" s="284"/>
      <c r="G76" s="850">
        <f>13750-20000</f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874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874"/>
      <c r="T77" s="252">
        <f>N77</f>
        <v>47807</v>
      </c>
      <c r="V77" s="716" t="s">
        <v>734</v>
      </c>
      <c r="W77" s="53"/>
      <c r="X77" s="642"/>
      <c r="Y77" s="642"/>
    </row>
    <row r="78" spans="1:25" ht="12.75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874"/>
      <c r="T78" s="252">
        <f>N78</f>
        <v>0</v>
      </c>
      <c r="V78" s="659" t="s">
        <v>735</v>
      </c>
      <c r="W78" s="532"/>
      <c r="X78" s="642"/>
    </row>
    <row r="79" spans="1:25" ht="15.75" customHeight="1" thickBot="1">
      <c r="A79" s="198">
        <v>49</v>
      </c>
      <c r="B79" s="204" t="s">
        <v>51</v>
      </c>
      <c r="C79" s="204"/>
      <c r="D79" s="86"/>
      <c r="E79" s="442">
        <f>SUM(E75:E77)</f>
        <v>1273157</v>
      </c>
      <c r="F79" s="442">
        <f t="shared" ref="F79:H79" si="10">SUM(F75:F77)</f>
        <v>0</v>
      </c>
      <c r="G79" s="442">
        <f t="shared" si="10"/>
        <v>-6250</v>
      </c>
      <c r="H79" s="442">
        <f t="shared" si="10"/>
        <v>0</v>
      </c>
      <c r="I79" s="444">
        <f>I72+I74+I76+I77</f>
        <v>1266907</v>
      </c>
      <c r="J79" s="444"/>
      <c r="K79" s="445"/>
      <c r="L79" s="445"/>
      <c r="M79" s="444">
        <f>M72+M74+M76+M77</f>
        <v>49197.91669775702</v>
      </c>
      <c r="N79" s="444">
        <f>N72+N74+N76+N77</f>
        <v>1316104.9166977571</v>
      </c>
      <c r="O79" s="442"/>
      <c r="P79" s="442"/>
      <c r="Q79" s="442"/>
      <c r="R79" s="442"/>
      <c r="S79" s="883"/>
      <c r="T79" s="851">
        <f>T72+T74+T76+T77</f>
        <v>1316104.9166977571</v>
      </c>
      <c r="U79" s="53">
        <f>T79/T89+1</f>
        <v>1299068.0464818701</v>
      </c>
      <c r="V79" s="184">
        <v>1403763</v>
      </c>
      <c r="Y79" s="640"/>
    </row>
    <row r="80" spans="1:25" ht="16.5" customHeight="1" thickTop="1" thickBot="1">
      <c r="A80" s="198"/>
      <c r="B80" s="204"/>
      <c r="C80" s="52" t="s">
        <v>752</v>
      </c>
      <c r="D80" s="86"/>
      <c r="E80" s="248"/>
      <c r="F80" s="248"/>
      <c r="G80" s="248"/>
      <c r="H80" s="521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874"/>
      <c r="T80" s="252"/>
      <c r="U80" s="657">
        <f>U79-V79</f>
        <v>-104694.95351812989</v>
      </c>
      <c r="V80" s="532"/>
    </row>
    <row r="81" spans="1:23" ht="15.75" customHeight="1">
      <c r="A81" s="198">
        <v>50</v>
      </c>
      <c r="B81" s="204" t="s">
        <v>50</v>
      </c>
      <c r="C81" s="204"/>
      <c r="D81" s="86"/>
      <c r="E81" s="520">
        <f>E54/E79</f>
        <v>7.9604479259038755E-2</v>
      </c>
      <c r="F81" s="284"/>
      <c r="G81" s="284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884"/>
      <c r="T81" s="520">
        <f>T54/T79</f>
        <v>8.018476545377129E-2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8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W83" s="651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/>
      <c r="F84" s="905" t="s">
        <v>754</v>
      </c>
      <c r="G84" s="905"/>
      <c r="H84" s="905"/>
      <c r="I84" s="905"/>
      <c r="J84" s="905"/>
      <c r="K84" s="905"/>
      <c r="L84" s="905"/>
      <c r="M84" s="905"/>
      <c r="N84" s="905"/>
      <c r="O84" s="905"/>
      <c r="P84" s="905"/>
      <c r="Q84" s="905"/>
      <c r="R84" s="905"/>
      <c r="S84" s="905"/>
      <c r="T84" s="866">
        <f>ROR!F15</f>
        <v>7.2900000000000006E-2</v>
      </c>
      <c r="W84" s="652"/>
    </row>
    <row r="85" spans="1:23" s="197" customFormat="1" ht="15.75" customHeight="1">
      <c r="A85" s="198">
        <v>51</v>
      </c>
      <c r="B85" s="206" t="s">
        <v>292</v>
      </c>
      <c r="C85" s="790"/>
      <c r="D85" s="88"/>
      <c r="E85" s="248"/>
      <c r="F85" s="905"/>
      <c r="G85" s="905"/>
      <c r="H85" s="905"/>
      <c r="I85" s="905"/>
      <c r="J85" s="905"/>
      <c r="K85" s="905"/>
      <c r="L85" s="905"/>
      <c r="M85" s="905"/>
      <c r="N85" s="905"/>
      <c r="O85" s="905"/>
      <c r="P85" s="905"/>
      <c r="Q85" s="905"/>
      <c r="R85" s="905"/>
      <c r="S85" s="905"/>
      <c r="T85" s="489">
        <f>T84*T79</f>
        <v>95944.048427266505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/>
      <c r="F86" s="905"/>
      <c r="G86" s="905"/>
      <c r="H86" s="905"/>
      <c r="I86" s="905"/>
      <c r="J86" s="905"/>
      <c r="K86" s="905"/>
      <c r="L86" s="905"/>
      <c r="M86" s="905"/>
      <c r="N86" s="905"/>
      <c r="O86" s="905"/>
      <c r="P86" s="905"/>
      <c r="Q86" s="905"/>
      <c r="R86" s="905"/>
      <c r="S86" s="905"/>
      <c r="T86" s="489">
        <f>T85-T54</f>
        <v>-9587.5156306983554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69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568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/>
      <c r="F88" s="905"/>
      <c r="G88" s="905"/>
      <c r="H88" s="905"/>
      <c r="I88" s="905"/>
      <c r="J88" s="905"/>
      <c r="K88" s="905"/>
      <c r="L88" s="905"/>
      <c r="M88" s="905"/>
      <c r="N88" s="905"/>
      <c r="O88" s="905"/>
      <c r="P88" s="905"/>
      <c r="Q88" s="905"/>
      <c r="R88" s="905"/>
      <c r="S88" s="905"/>
      <c r="T88" s="489">
        <f>T86/T87</f>
        <v>-15459.246719820627</v>
      </c>
    </row>
    <row r="89" spans="1:23" s="47" customFormat="1" ht="15.75" customHeight="1" thickBot="1">
      <c r="A89" s="198">
        <v>55</v>
      </c>
      <c r="B89" s="206" t="s">
        <v>116</v>
      </c>
      <c r="C89" s="207"/>
      <c r="D89" s="87"/>
      <c r="E89" s="285"/>
      <c r="F89" s="905"/>
      <c r="G89" s="905"/>
      <c r="H89" s="905"/>
      <c r="I89" s="905"/>
      <c r="J89" s="905"/>
      <c r="K89" s="905"/>
      <c r="L89" s="905"/>
      <c r="M89" s="905"/>
      <c r="N89" s="905"/>
      <c r="O89" s="905"/>
      <c r="P89" s="905"/>
      <c r="Q89" s="905"/>
      <c r="R89" s="905"/>
      <c r="S89" s="905"/>
      <c r="T89" s="337">
        <f>'Weighted Revenue Growth'!J25+1</f>
        <v>1.0131154664126296</v>
      </c>
      <c r="V89" s="528"/>
    </row>
    <row r="90" spans="1:23" s="47" customFormat="1" ht="18" customHeight="1" thickBot="1">
      <c r="A90" s="198">
        <v>56</v>
      </c>
      <c r="B90" s="288" t="s">
        <v>282</v>
      </c>
      <c r="C90" s="289"/>
      <c r="D90" s="154"/>
      <c r="E90" s="28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906"/>
      <c r="Q90" s="906"/>
      <c r="R90" s="906"/>
      <c r="S90" s="906"/>
      <c r="T90" s="852">
        <f>T88/T89</f>
        <v>-15259.116292598639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ht="11.1" customHeight="1">
      <c r="B92" s="48"/>
      <c r="C92" s="48"/>
      <c r="E92" s="48"/>
      <c r="F92" s="48"/>
      <c r="G92" s="48"/>
      <c r="H92" s="48"/>
      <c r="I92" s="92"/>
      <c r="J92" s="92"/>
      <c r="K92" s="48"/>
      <c r="L92" s="48"/>
      <c r="M92" s="48"/>
      <c r="N92" s="51"/>
      <c r="O92" s="51"/>
      <c r="Q92" s="51"/>
      <c r="R92" s="51"/>
      <c r="S92" s="51"/>
      <c r="T92" s="51"/>
    </row>
    <row r="93" spans="1:23" ht="15.6" customHeight="1">
      <c r="C93" s="51"/>
      <c r="E93" s="48"/>
      <c r="F93" s="51"/>
      <c r="G93" s="51"/>
      <c r="H93" s="51"/>
      <c r="I93" s="259"/>
      <c r="J93" s="89"/>
      <c r="K93" s="48"/>
      <c r="L93" s="48"/>
      <c r="M93" s="48"/>
      <c r="N93" s="51"/>
      <c r="O93" s="51"/>
      <c r="Q93" s="51"/>
      <c r="R93" s="51"/>
      <c r="S93" s="51"/>
      <c r="T93" s="282"/>
    </row>
    <row r="94" spans="1:23" ht="11.1" customHeight="1">
      <c r="C94" s="51"/>
      <c r="E94" s="48"/>
      <c r="F94" s="51"/>
      <c r="G94" s="51"/>
      <c r="H94" s="51"/>
      <c r="I94" s="89"/>
      <c r="J94" s="89"/>
      <c r="K94" s="48"/>
      <c r="L94" s="48"/>
      <c r="M94" s="48"/>
      <c r="N94" s="51"/>
      <c r="O94" s="51"/>
      <c r="Q94" s="51"/>
      <c r="R94" s="51"/>
      <c r="S94" s="51"/>
      <c r="T94" s="51"/>
    </row>
    <row r="95" spans="1:23" ht="15.6">
      <c r="C95" s="51"/>
      <c r="E95" s="48"/>
      <c r="F95" s="51"/>
      <c r="G95" s="51"/>
      <c r="H95" s="51"/>
      <c r="I95" s="25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6">
      <c r="C96" s="51"/>
      <c r="E96" s="48"/>
      <c r="F96" s="51"/>
      <c r="G96" s="51"/>
      <c r="H96" s="51"/>
      <c r="I96" s="488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0" ht="15.6">
      <c r="C97" s="51"/>
      <c r="E97" s="48"/>
      <c r="F97" s="51"/>
      <c r="G97" s="51"/>
      <c r="H97" s="51"/>
      <c r="I97" s="488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0" ht="15.6">
      <c r="C98" s="51"/>
      <c r="E98" s="48"/>
      <c r="F98" s="51"/>
      <c r="G98" s="51"/>
      <c r="H98" s="51"/>
      <c r="I98" s="283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0" ht="15.6">
      <c r="C99" s="51"/>
      <c r="E99" s="48"/>
      <c r="F99" s="51"/>
      <c r="G99" s="51"/>
      <c r="H99" s="51"/>
      <c r="I99" s="488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0" ht="11.1" customHeight="1">
      <c r="C100" s="51"/>
      <c r="E100" s="48"/>
      <c r="F100" s="51"/>
      <c r="G100" s="51"/>
      <c r="H100" s="51"/>
      <c r="I100" s="8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0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0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0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0" ht="11.1" customHeight="1">
      <c r="C104" s="51"/>
      <c r="E104" s="48"/>
      <c r="G104" s="184"/>
      <c r="H104" s="184"/>
      <c r="I104" s="49"/>
      <c r="J104" s="49"/>
      <c r="K104" s="50"/>
      <c r="L104" s="50"/>
      <c r="M104" s="50"/>
      <c r="N104" s="51"/>
      <c r="O104" s="51"/>
      <c r="Q104" s="51"/>
      <c r="R104" s="51"/>
      <c r="S104" s="51"/>
      <c r="T104" s="51"/>
    </row>
    <row r="105" spans="3:20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0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0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0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0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0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0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0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  <c r="V149" s="781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  <c r="V163" s="781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781"/>
      <c r="O183" s="781"/>
      <c r="P183" s="781"/>
      <c r="Q183" s="781"/>
      <c r="R183" s="781"/>
      <c r="S183" s="781"/>
      <c r="T183" s="781"/>
      <c r="U183" s="781"/>
      <c r="V183" s="781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51"/>
      <c r="O184" s="51"/>
      <c r="Q184" s="51"/>
      <c r="R184" s="51"/>
      <c r="S184" s="51"/>
      <c r="T184" s="51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</sheetData>
  <mergeCells count="8">
    <mergeCell ref="F84:S90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__(EMA-6)</oddHeader>
    <oddFooter>&amp;RPage &amp;P of &amp;N</oddFooter>
  </headerFooter>
  <rowBreaks count="1" manualBreakCount="1">
    <brk id="4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7"/>
  <sheetViews>
    <sheetView topLeftCell="A58" zoomScaleNormal="100" zoomScaleSheetLayoutView="100" workbookViewId="0">
      <selection activeCell="J11" sqref="J11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16384" width="12.44140625" style="40"/>
  </cols>
  <sheetData>
    <row r="1" spans="1:21" ht="7.5" customHeight="1">
      <c r="A1" s="912"/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</row>
    <row r="2" spans="1:21" ht="23.25" customHeight="1">
      <c r="A2" s="918" t="s">
        <v>494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</row>
    <row r="3" spans="1:21" ht="10.9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21" ht="12.75" customHeight="1">
      <c r="A4" s="353" t="s">
        <v>94</v>
      </c>
      <c r="E4" s="920" t="s">
        <v>422</v>
      </c>
      <c r="F4" s="920"/>
      <c r="G4" s="920"/>
      <c r="H4" s="920"/>
      <c r="I4" s="921"/>
      <c r="J4" s="920"/>
      <c r="K4" s="920"/>
      <c r="L4" s="920"/>
      <c r="M4" s="920"/>
      <c r="N4" s="920"/>
      <c r="O4" s="920"/>
      <c r="P4" s="920"/>
      <c r="Q4" s="920"/>
      <c r="R4" s="920"/>
    </row>
    <row r="5" spans="1:21" ht="15" customHeight="1">
      <c r="A5" s="353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3.2">
      <c r="A7" s="353" t="s">
        <v>93</v>
      </c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42"/>
      <c r="T7" s="707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51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15">
        <f>SUM(F10:F12)</f>
        <v>380192</v>
      </c>
      <c r="G13" s="415">
        <f t="shared" ref="G13:R13" si="0">SUM(G10:G12)</f>
        <v>350117</v>
      </c>
      <c r="H13" s="415">
        <f t="shared" si="0"/>
        <v>304027</v>
      </c>
      <c r="I13" s="415">
        <f t="shared" si="0"/>
        <v>319360</v>
      </c>
      <c r="J13" s="415">
        <f t="shared" si="0"/>
        <v>326611</v>
      </c>
      <c r="K13" s="415">
        <f t="shared" si="0"/>
        <v>334647</v>
      </c>
      <c r="L13" s="415">
        <f t="shared" si="0"/>
        <v>358042</v>
      </c>
      <c r="M13" s="415">
        <f t="shared" si="0"/>
        <v>362028</v>
      </c>
      <c r="N13" s="415">
        <f t="shared" si="0"/>
        <v>413093</v>
      </c>
      <c r="O13" s="415">
        <f t="shared" si="0"/>
        <v>434980.5491</v>
      </c>
      <c r="P13" s="415">
        <f t="shared" si="0"/>
        <v>550008.97036319994</v>
      </c>
      <c r="Q13" s="415">
        <f t="shared" si="0"/>
        <v>505261</v>
      </c>
      <c r="R13" s="415">
        <f t="shared" si="0"/>
        <v>514631</v>
      </c>
      <c r="S13" s="415">
        <f t="shared" ref="S13:T13" si="1">SUM(S10:S12)</f>
        <v>544239</v>
      </c>
      <c r="T13" s="415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15">
        <f>SUM(F13:F14)</f>
        <v>393254</v>
      </c>
      <c r="G15" s="415">
        <f t="shared" ref="G15:R15" si="2">SUM(G13:G14)</f>
        <v>364422</v>
      </c>
      <c r="H15" s="415">
        <f t="shared" si="2"/>
        <v>338301</v>
      </c>
      <c r="I15" s="415">
        <f t="shared" si="2"/>
        <v>376604</v>
      </c>
      <c r="J15" s="415">
        <f t="shared" si="2"/>
        <v>335198</v>
      </c>
      <c r="K15" s="415">
        <f t="shared" si="2"/>
        <v>344906</v>
      </c>
      <c r="L15" s="415">
        <f t="shared" si="2"/>
        <v>368220</v>
      </c>
      <c r="M15" s="415">
        <f t="shared" si="2"/>
        <v>372198</v>
      </c>
      <c r="N15" s="415">
        <f t="shared" si="2"/>
        <v>424020</v>
      </c>
      <c r="O15" s="415">
        <f t="shared" si="2"/>
        <v>444375.5491</v>
      </c>
      <c r="P15" s="415">
        <f t="shared" si="2"/>
        <v>561794.97036319994</v>
      </c>
      <c r="Q15" s="415">
        <f t="shared" si="2"/>
        <v>518927</v>
      </c>
      <c r="R15" s="415">
        <f t="shared" si="2"/>
        <v>527720</v>
      </c>
      <c r="S15" s="415">
        <f t="shared" ref="S15:T15" si="3">SUM(S13:S14)</f>
        <v>557647</v>
      </c>
      <c r="T15" s="415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16">
        <f>SUM(F19:F23)</f>
        <v>266142</v>
      </c>
      <c r="G24" s="416">
        <f t="shared" ref="G24:R24" si="4">SUM(G19:G23)</f>
        <v>193607</v>
      </c>
      <c r="H24" s="416">
        <f t="shared" si="4"/>
        <v>173216</v>
      </c>
      <c r="I24" s="416">
        <f t="shared" si="4"/>
        <v>200326</v>
      </c>
      <c r="J24" s="416">
        <f t="shared" si="4"/>
        <v>182749</v>
      </c>
      <c r="K24" s="416">
        <f t="shared" si="4"/>
        <v>184132</v>
      </c>
      <c r="L24" s="416">
        <f t="shared" si="4"/>
        <v>218266</v>
      </c>
      <c r="M24" s="416">
        <f t="shared" si="4"/>
        <v>198644</v>
      </c>
      <c r="N24" s="416">
        <f t="shared" si="4"/>
        <v>219777</v>
      </c>
      <c r="O24" s="416">
        <f t="shared" si="4"/>
        <v>219316</v>
      </c>
      <c r="P24" s="416">
        <f t="shared" si="4"/>
        <v>321388</v>
      </c>
      <c r="Q24" s="416">
        <f t="shared" si="4"/>
        <v>273183</v>
      </c>
      <c r="R24" s="416">
        <f t="shared" si="4"/>
        <v>262470</v>
      </c>
      <c r="S24" s="416">
        <f t="shared" ref="S24:T24" si="5">SUM(S19:S23)</f>
        <v>297764</v>
      </c>
      <c r="T24" s="416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59"/>
      <c r="T25" s="559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16">
        <f>SUM(F27:F29)</f>
        <v>30167</v>
      </c>
      <c r="G30" s="416">
        <f t="shared" ref="G30:R30" si="6">SUM(G27:G29)</f>
        <v>35200</v>
      </c>
      <c r="H30" s="416">
        <f t="shared" si="6"/>
        <v>36054</v>
      </c>
      <c r="I30" s="416">
        <f t="shared" si="6"/>
        <v>37209</v>
      </c>
      <c r="J30" s="416">
        <f t="shared" si="6"/>
        <v>39484</v>
      </c>
      <c r="K30" s="416">
        <f t="shared" si="6"/>
        <v>39650</v>
      </c>
      <c r="L30" s="416">
        <f t="shared" si="6"/>
        <v>42568</v>
      </c>
      <c r="M30" s="416">
        <f t="shared" si="6"/>
        <v>42052</v>
      </c>
      <c r="N30" s="416">
        <f t="shared" si="6"/>
        <v>50356</v>
      </c>
      <c r="O30" s="416">
        <f t="shared" si="6"/>
        <v>52283</v>
      </c>
      <c r="P30" s="416">
        <f t="shared" si="6"/>
        <v>56329</v>
      </c>
      <c r="Q30" s="416">
        <f t="shared" si="6"/>
        <v>60714.453812</v>
      </c>
      <c r="R30" s="416">
        <f t="shared" si="6"/>
        <v>64495.925350000005</v>
      </c>
      <c r="S30" s="416">
        <f t="shared" ref="S30:T30" si="7">SUM(S27:S29)</f>
        <v>66469</v>
      </c>
      <c r="T30" s="416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16">
        <f>SUM(F37:F39)</f>
        <v>34353</v>
      </c>
      <c r="G40" s="416">
        <f t="shared" ref="G40:R40" si="8">SUM(G37:G39)</f>
        <v>29518</v>
      </c>
      <c r="H40" s="416">
        <f t="shared" si="8"/>
        <v>36911</v>
      </c>
      <c r="I40" s="416">
        <f t="shared" si="8"/>
        <v>36814</v>
      </c>
      <c r="J40" s="416">
        <f t="shared" si="8"/>
        <v>38002</v>
      </c>
      <c r="K40" s="416">
        <f t="shared" si="8"/>
        <v>39676</v>
      </c>
      <c r="L40" s="416">
        <f t="shared" si="8"/>
        <v>39607</v>
      </c>
      <c r="M40" s="416">
        <f t="shared" si="8"/>
        <v>42574</v>
      </c>
      <c r="N40" s="416">
        <f t="shared" si="8"/>
        <v>43166</v>
      </c>
      <c r="O40" s="416">
        <f t="shared" si="8"/>
        <v>46146</v>
      </c>
      <c r="P40" s="416">
        <f t="shared" si="8"/>
        <v>53941</v>
      </c>
      <c r="Q40" s="416">
        <f t="shared" si="8"/>
        <v>55685.252</v>
      </c>
      <c r="R40" s="416">
        <f t="shared" si="8"/>
        <v>61846.396000000001</v>
      </c>
      <c r="S40" s="416">
        <f t="shared" ref="S40:T40" si="9">SUM(S37:S39)</f>
        <v>58031</v>
      </c>
      <c r="T40" s="416">
        <f t="shared" si="9"/>
        <v>63157</v>
      </c>
    </row>
    <row r="41" spans="1:20">
      <c r="A41" s="54">
        <v>24</v>
      </c>
      <c r="B41" s="40" t="s">
        <v>67</v>
      </c>
      <c r="F41" s="416">
        <f>F24+F30+F32+F33+F34+F40</f>
        <v>343205</v>
      </c>
      <c r="G41" s="416">
        <f t="shared" ref="G41:R41" si="10">G24+G30+G32+G33+G34+G40</f>
        <v>270636</v>
      </c>
      <c r="H41" s="416">
        <f t="shared" si="10"/>
        <v>260183</v>
      </c>
      <c r="I41" s="416">
        <f t="shared" si="10"/>
        <v>288832</v>
      </c>
      <c r="J41" s="416">
        <f t="shared" si="10"/>
        <v>268539</v>
      </c>
      <c r="K41" s="416">
        <f t="shared" si="10"/>
        <v>278171</v>
      </c>
      <c r="L41" s="416">
        <f t="shared" si="10"/>
        <v>309354</v>
      </c>
      <c r="M41" s="416">
        <f t="shared" si="10"/>
        <v>298938</v>
      </c>
      <c r="N41" s="416">
        <f t="shared" si="10"/>
        <v>334636</v>
      </c>
      <c r="O41" s="416">
        <f t="shared" si="10"/>
        <v>347787</v>
      </c>
      <c r="P41" s="416">
        <f t="shared" si="10"/>
        <v>461927</v>
      </c>
      <c r="Q41" s="416">
        <f t="shared" si="10"/>
        <v>421153.40739999997</v>
      </c>
      <c r="R41" s="416">
        <f t="shared" si="10"/>
        <v>417640.11265200004</v>
      </c>
      <c r="S41" s="416">
        <f t="shared" ref="S41:T41" si="11">S24+S30+S32+S33+S34+S40</f>
        <v>435119</v>
      </c>
      <c r="T41" s="416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16">
        <f>F15-F41</f>
        <v>50049</v>
      </c>
      <c r="G43" s="416">
        <f t="shared" ref="G43:R43" si="12">G15-G41</f>
        <v>93786</v>
      </c>
      <c r="H43" s="416">
        <f t="shared" si="12"/>
        <v>78118</v>
      </c>
      <c r="I43" s="416">
        <f t="shared" si="12"/>
        <v>87772</v>
      </c>
      <c r="J43" s="416">
        <f t="shared" si="12"/>
        <v>66659</v>
      </c>
      <c r="K43" s="416">
        <f t="shared" si="12"/>
        <v>66735</v>
      </c>
      <c r="L43" s="416">
        <f t="shared" si="12"/>
        <v>58866</v>
      </c>
      <c r="M43" s="416">
        <f t="shared" si="12"/>
        <v>73260</v>
      </c>
      <c r="N43" s="416">
        <f t="shared" si="12"/>
        <v>89384</v>
      </c>
      <c r="O43" s="416">
        <f t="shared" si="12"/>
        <v>96588.549100000004</v>
      </c>
      <c r="P43" s="416">
        <f t="shared" si="12"/>
        <v>99867.970363199944</v>
      </c>
      <c r="Q43" s="416">
        <f t="shared" si="12"/>
        <v>97773.592600000033</v>
      </c>
      <c r="R43" s="416">
        <f t="shared" si="12"/>
        <v>110079.88734799996</v>
      </c>
      <c r="S43" s="416">
        <f t="shared" ref="S43:T43" si="13">S15-S41</f>
        <v>122528</v>
      </c>
      <c r="T43" s="416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6" thickBot="1">
      <c r="A51" s="54">
        <v>31</v>
      </c>
      <c r="B51" s="40" t="s">
        <v>62</v>
      </c>
      <c r="F51" s="417">
        <f>F43-SUM(F46:F50)</f>
        <v>27317</v>
      </c>
      <c r="G51" s="417">
        <f t="shared" ref="G51:R51" si="14">G43-SUM(G46:G50)</f>
        <v>64507.354560008986</v>
      </c>
      <c r="H51" s="417">
        <f t="shared" si="14"/>
        <v>62115.506538557296</v>
      </c>
      <c r="I51" s="417">
        <f t="shared" si="14"/>
        <v>68288.619054480223</v>
      </c>
      <c r="J51" s="417">
        <f t="shared" si="14"/>
        <v>55448.254067891743</v>
      </c>
      <c r="K51" s="417">
        <f t="shared" si="14"/>
        <v>56107.523129622539</v>
      </c>
      <c r="L51" s="417">
        <f t="shared" si="14"/>
        <v>51307.480106379313</v>
      </c>
      <c r="M51" s="417">
        <f t="shared" si="14"/>
        <v>61693.483424999999</v>
      </c>
      <c r="N51" s="417">
        <f t="shared" si="14"/>
        <v>68967.120200000005</v>
      </c>
      <c r="O51" s="417">
        <f t="shared" si="14"/>
        <v>74509.549100000004</v>
      </c>
      <c r="P51" s="417">
        <f t="shared" si="14"/>
        <v>76864.970363199944</v>
      </c>
      <c r="Q51" s="417">
        <f t="shared" si="14"/>
        <v>74694.85639000003</v>
      </c>
      <c r="R51" s="417">
        <f t="shared" si="14"/>
        <v>82954.216226199962</v>
      </c>
      <c r="S51" s="417">
        <f t="shared" ref="S51:T51" si="15">S43-SUM(S46:S50)</f>
        <v>92777</v>
      </c>
      <c r="T51" s="417">
        <f t="shared" si="15"/>
        <v>101349</v>
      </c>
    </row>
    <row r="52" spans="1:21" ht="12.6" thickTop="1">
      <c r="A52" s="54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155"/>
      <c r="T52" s="155"/>
    </row>
    <row r="53" spans="1:21">
      <c r="A53" s="54"/>
      <c r="C53" s="490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19"/>
      <c r="B54" s="919"/>
      <c r="C54" s="919"/>
      <c r="D54" s="919"/>
      <c r="E54" s="919"/>
      <c r="F54" s="919"/>
      <c r="G54" s="919"/>
      <c r="H54" s="919"/>
      <c r="I54" s="919"/>
      <c r="J54" s="919"/>
      <c r="K54" s="919"/>
      <c r="L54" s="919"/>
      <c r="M54" s="919"/>
      <c r="N54" s="919"/>
      <c r="O54" s="919"/>
      <c r="P54" s="919"/>
      <c r="Q54" s="919"/>
      <c r="R54" s="919"/>
    </row>
    <row r="55" spans="1:21" ht="15.6">
      <c r="A55" s="484" t="str">
        <f>A4</f>
        <v xml:space="preserve">AVISTA UTILITIES  </v>
      </c>
      <c r="E55" s="920" t="str">
        <f>E4</f>
        <v>Commission Basis Results of Operations</v>
      </c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155"/>
      <c r="T55" s="155"/>
      <c r="U55" s="193"/>
    </row>
    <row r="56" spans="1:21">
      <c r="A56" s="484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84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3.2">
      <c r="A58" s="484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07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16">
        <f>SUM(F62:F66)</f>
        <v>1109606</v>
      </c>
      <c r="G67" s="416">
        <f t="shared" ref="G67:R67" si="18">SUM(G62:G66)</f>
        <v>1144909</v>
      </c>
      <c r="H67" s="416">
        <f t="shared" si="18"/>
        <v>1242220</v>
      </c>
      <c r="I67" s="416">
        <f t="shared" si="18"/>
        <v>1278396</v>
      </c>
      <c r="J67" s="416">
        <f t="shared" si="18"/>
        <v>1356075</v>
      </c>
      <c r="K67" s="416">
        <f t="shared" si="18"/>
        <v>1408964</v>
      </c>
      <c r="L67" s="416">
        <f t="shared" si="18"/>
        <v>1500806</v>
      </c>
      <c r="M67" s="416">
        <f t="shared" si="18"/>
        <v>1536175</v>
      </c>
      <c r="N67" s="416">
        <f t="shared" si="18"/>
        <v>1622175</v>
      </c>
      <c r="O67" s="416">
        <f t="shared" si="18"/>
        <v>1736780</v>
      </c>
      <c r="P67" s="416">
        <f t="shared" si="18"/>
        <v>1850288</v>
      </c>
      <c r="Q67" s="416">
        <f t="shared" si="18"/>
        <v>1955287</v>
      </c>
      <c r="R67" s="416">
        <f t="shared" si="18"/>
        <v>2043913</v>
      </c>
      <c r="S67" s="416">
        <f t="shared" ref="S67:T67" si="19">SUM(S62:S66)</f>
        <v>2165496</v>
      </c>
      <c r="T67" s="416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15">
        <f t="shared" ref="F75:R75" si="20">F67-F74</f>
        <v>754924</v>
      </c>
      <c r="G75" s="415">
        <f t="shared" si="20"/>
        <v>771819</v>
      </c>
      <c r="H75" s="415">
        <f t="shared" si="20"/>
        <v>850869</v>
      </c>
      <c r="I75" s="415">
        <f t="shared" si="20"/>
        <v>856006</v>
      </c>
      <c r="J75" s="415">
        <f t="shared" si="20"/>
        <v>908716</v>
      </c>
      <c r="K75" s="415">
        <f t="shared" si="20"/>
        <v>934058</v>
      </c>
      <c r="L75" s="415">
        <f t="shared" si="20"/>
        <v>994207</v>
      </c>
      <c r="M75" s="415">
        <f t="shared" si="20"/>
        <v>1009868</v>
      </c>
      <c r="N75" s="415">
        <f t="shared" si="20"/>
        <v>1064749</v>
      </c>
      <c r="O75" s="415">
        <f t="shared" si="20"/>
        <v>1150959</v>
      </c>
      <c r="P75" s="415">
        <f t="shared" si="20"/>
        <v>1220889</v>
      </c>
      <c r="Q75" s="415">
        <f>Q67-Q74</f>
        <v>1288304</v>
      </c>
      <c r="R75" s="415">
        <f t="shared" si="20"/>
        <v>1339779</v>
      </c>
      <c r="S75" s="415">
        <f t="shared" ref="S75:T75" si="21">S67-S74</f>
        <v>1416364</v>
      </c>
      <c r="T75" s="415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53" t="s">
        <v>293</v>
      </c>
      <c r="D78" s="353"/>
      <c r="E78" s="353"/>
      <c r="F78" s="418">
        <f t="shared" ref="F78:P78" si="22">F75+F77</f>
        <v>649149</v>
      </c>
      <c r="G78" s="418">
        <f t="shared" si="22"/>
        <v>662278</v>
      </c>
      <c r="H78" s="418">
        <f t="shared" si="22"/>
        <v>739502</v>
      </c>
      <c r="I78" s="418">
        <f t="shared" si="22"/>
        <v>720602</v>
      </c>
      <c r="J78" s="418">
        <f t="shared" si="22"/>
        <v>757756</v>
      </c>
      <c r="K78" s="418">
        <f t="shared" si="22"/>
        <v>799091</v>
      </c>
      <c r="L78" s="418">
        <f t="shared" si="22"/>
        <v>855712</v>
      </c>
      <c r="M78" s="418">
        <f t="shared" si="22"/>
        <v>870835</v>
      </c>
      <c r="N78" s="418">
        <f t="shared" si="22"/>
        <v>917247</v>
      </c>
      <c r="O78" s="418">
        <f t="shared" si="22"/>
        <v>987243</v>
      </c>
      <c r="P78" s="418">
        <f t="shared" si="22"/>
        <v>1036064</v>
      </c>
      <c r="Q78" s="418">
        <f>Q75+Q77</f>
        <v>1087141</v>
      </c>
      <c r="R78" s="418">
        <f>R75+R77</f>
        <v>1131570</v>
      </c>
      <c r="S78" s="418">
        <f>S75+S77</f>
        <v>1195010</v>
      </c>
      <c r="T78" s="418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6" thickBot="1">
      <c r="A82" s="54">
        <v>49</v>
      </c>
      <c r="B82" s="40" t="s">
        <v>51</v>
      </c>
      <c r="F82" s="417">
        <f>'CBR Hist'!F78</f>
        <v>568492</v>
      </c>
      <c r="G82" s="417">
        <f>'CBR Hist'!G78</f>
        <v>597515</v>
      </c>
      <c r="H82" s="417">
        <f>'CBR Hist'!H78</f>
        <v>761858</v>
      </c>
      <c r="I82" s="417">
        <f>'CBR Hist'!I78</f>
        <v>742443</v>
      </c>
      <c r="J82" s="417">
        <f>'CBR Hist'!J78</f>
        <v>778011</v>
      </c>
      <c r="K82" s="417">
        <f>'CBR Hist'!K78</f>
        <v>819842</v>
      </c>
      <c r="L82" s="417">
        <f>'CBR Hist'!L78</f>
        <v>874511</v>
      </c>
      <c r="M82" s="417">
        <f>'CBR Hist'!M78</f>
        <v>891855</v>
      </c>
      <c r="N82" s="417">
        <f>'CBR Hist'!N78</f>
        <v>936840</v>
      </c>
      <c r="O82" s="417">
        <f>'CBR Hist'!O78</f>
        <v>1005019</v>
      </c>
      <c r="P82" s="417">
        <f>'CBR Hist'!P78</f>
        <v>1072028</v>
      </c>
      <c r="Q82" s="417">
        <f>'CBR Hist'!Q78</f>
        <v>1137863</v>
      </c>
      <c r="R82" s="417">
        <f>'CBR Hist'!R78</f>
        <v>1158975</v>
      </c>
      <c r="S82" s="417">
        <f>'CBR Hist'!S78</f>
        <v>1226052</v>
      </c>
      <c r="T82" s="417">
        <f>'CBR Hist'!T78</f>
        <v>1273157</v>
      </c>
    </row>
    <row r="83" spans="1:20" ht="12.6" thickTop="1">
      <c r="A83" s="54"/>
      <c r="F83" s="487">
        <f>F78+F79+F80-F82</f>
        <v>0</v>
      </c>
      <c r="G83" s="487">
        <f t="shared" ref="G83:P83" si="23">G78+G79+G80-G82</f>
        <v>0</v>
      </c>
      <c r="H83" s="487">
        <f t="shared" si="23"/>
        <v>0</v>
      </c>
      <c r="I83" s="487">
        <f t="shared" si="23"/>
        <v>0</v>
      </c>
      <c r="J83" s="487">
        <f t="shared" si="23"/>
        <v>0</v>
      </c>
      <c r="K83" s="487">
        <f t="shared" si="23"/>
        <v>0</v>
      </c>
      <c r="L83" s="487">
        <f t="shared" si="23"/>
        <v>0</v>
      </c>
      <c r="M83" s="487">
        <f t="shared" si="23"/>
        <v>0</v>
      </c>
      <c r="N83" s="487">
        <f t="shared" si="23"/>
        <v>0</v>
      </c>
      <c r="O83" s="487">
        <f t="shared" si="23"/>
        <v>0</v>
      </c>
      <c r="P83" s="487">
        <f t="shared" si="23"/>
        <v>0</v>
      </c>
      <c r="Q83" s="487">
        <f>Q78+Q79+Q80-Q82</f>
        <v>0</v>
      </c>
      <c r="R83" s="487">
        <f t="shared" ref="R83:S83" si="24">R78+R79+R80-R82</f>
        <v>0</v>
      </c>
      <c r="S83" s="487">
        <f t="shared" si="24"/>
        <v>0</v>
      </c>
      <c r="T83" s="487">
        <f t="shared" ref="T83" si="25">T78+T79+T80-T82</f>
        <v>0</v>
      </c>
    </row>
    <row r="84" spans="1:20">
      <c r="A84" s="54"/>
      <c r="C84" s="490" t="s">
        <v>467</v>
      </c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155"/>
      <c r="T84" s="155"/>
    </row>
    <row r="85" spans="1:20">
      <c r="A85" s="500" t="s">
        <v>94</v>
      </c>
      <c r="B85" s="490"/>
      <c r="C85" s="490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155"/>
      <c r="T85" s="155"/>
    </row>
    <row r="86" spans="1:20">
      <c r="A86" s="500" t="s">
        <v>134</v>
      </c>
      <c r="B86" s="490"/>
      <c r="C86" s="490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155"/>
      <c r="T86" s="155"/>
    </row>
    <row r="87" spans="1:20" ht="4.5" customHeight="1">
      <c r="A87" s="54"/>
      <c r="C87" s="490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155"/>
      <c r="T87" s="155"/>
    </row>
    <row r="88" spans="1:20" ht="15.6">
      <c r="A88" s="501" t="str">
        <f>A58</f>
        <v xml:space="preserve">(000'S OF DOLLARS)  </v>
      </c>
      <c r="E88" s="916" t="s">
        <v>482</v>
      </c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R88" s="916"/>
      <c r="S88" s="155"/>
      <c r="T88" s="707"/>
    </row>
    <row r="89" spans="1:20" ht="3" customHeight="1">
      <c r="A89" s="54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25" t="s">
        <v>484</v>
      </c>
      <c r="D91" s="40" t="s">
        <v>465</v>
      </c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531"/>
      <c r="T91" s="673"/>
    </row>
    <row r="92" spans="1:20" ht="12" customHeight="1">
      <c r="A92" s="54">
        <v>1</v>
      </c>
      <c r="B92" s="40" t="s">
        <v>427</v>
      </c>
      <c r="E92" s="344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428</v>
      </c>
      <c r="E93" s="344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429</v>
      </c>
      <c r="E94" s="344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430</v>
      </c>
      <c r="E95" s="344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431</v>
      </c>
      <c r="E96" s="344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432</v>
      </c>
      <c r="E97" s="344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433</v>
      </c>
      <c r="E98" s="344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434</v>
      </c>
      <c r="C99" s="54"/>
      <c r="D99" s="54"/>
      <c r="E99" s="54"/>
      <c r="F99" s="415">
        <f>SUM(F92:F98)</f>
        <v>312221</v>
      </c>
      <c r="G99" s="415">
        <f t="shared" ref="G99:R99" si="41">SUM(G92:G98)</f>
        <v>227289</v>
      </c>
      <c r="H99" s="415">
        <f t="shared" si="41"/>
        <v>206181</v>
      </c>
      <c r="I99" s="415">
        <f t="shared" si="41"/>
        <v>233496</v>
      </c>
      <c r="J99" s="415">
        <f t="shared" si="41"/>
        <v>204834</v>
      </c>
      <c r="K99" s="415">
        <f t="shared" si="41"/>
        <v>222539</v>
      </c>
      <c r="L99" s="415">
        <f t="shared" si="41"/>
        <v>240952</v>
      </c>
      <c r="M99" s="415">
        <f t="shared" si="41"/>
        <v>234605</v>
      </c>
      <c r="N99" s="415">
        <f t="shared" si="41"/>
        <v>264279</v>
      </c>
      <c r="O99" s="415">
        <f t="shared" si="41"/>
        <v>273806</v>
      </c>
      <c r="P99" s="415">
        <f t="shared" si="41"/>
        <v>382589</v>
      </c>
      <c r="Q99" s="415">
        <f t="shared" si="41"/>
        <v>332206.95358799997</v>
      </c>
      <c r="R99" s="415">
        <f t="shared" si="41"/>
        <v>332391.18730200001</v>
      </c>
      <c r="S99" s="415">
        <f t="shared" ref="S99:T99" si="42">SUM(S92:S98)</f>
        <v>329981</v>
      </c>
      <c r="T99" s="415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.5" customHeight="1">
      <c r="A103" s="54"/>
      <c r="B103" s="54"/>
      <c r="C103" s="84"/>
      <c r="D103" s="54"/>
      <c r="E103" s="5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</row>
    <row r="104" spans="1:20" ht="12.6" thickBot="1">
      <c r="A104" s="54">
        <v>12</v>
      </c>
      <c r="B104" s="484" t="s">
        <v>425</v>
      </c>
      <c r="C104" s="54"/>
      <c r="D104" s="54"/>
      <c r="E104" s="54"/>
      <c r="F104" s="482">
        <f>SUM(F99:F102)</f>
        <v>74094.475433392028</v>
      </c>
      <c r="G104" s="482">
        <f t="shared" ref="G104:T104" si="43">SUM(G99:G103)</f>
        <v>66001.809338448002</v>
      </c>
      <c r="H104" s="482">
        <f t="shared" si="43"/>
        <v>75749.159124638405</v>
      </c>
      <c r="I104" s="482">
        <f t="shared" si="43"/>
        <v>73085.610674757903</v>
      </c>
      <c r="J104" s="482">
        <f t="shared" si="43"/>
        <v>82035</v>
      </c>
      <c r="K104" s="482">
        <f t="shared" si="43"/>
        <v>82829.326253093925</v>
      </c>
      <c r="L104" s="482">
        <f t="shared" si="43"/>
        <v>88828</v>
      </c>
      <c r="M104" s="482">
        <f t="shared" si="43"/>
        <v>92211.7999895299</v>
      </c>
      <c r="N104" s="482">
        <f t="shared" si="43"/>
        <v>99146.488212752593</v>
      </c>
      <c r="O104" s="482">
        <f t="shared" si="43"/>
        <v>108289.20367903885</v>
      </c>
      <c r="P104" s="482">
        <f t="shared" si="43"/>
        <v>113649.52340035603</v>
      </c>
      <c r="Q104" s="482">
        <f t="shared" si="43"/>
        <v>123418.7529832047</v>
      </c>
      <c r="R104" s="482">
        <f t="shared" si="43"/>
        <v>134594.49114962851</v>
      </c>
      <c r="S104" s="482">
        <f t="shared" si="43"/>
        <v>128510</v>
      </c>
      <c r="T104" s="482">
        <f t="shared" si="43"/>
        <v>130891</v>
      </c>
    </row>
    <row r="105" spans="1:20" ht="12.6" thickTop="1">
      <c r="A105" s="54"/>
      <c r="B105" s="54"/>
      <c r="C105" s="54"/>
      <c r="D105" s="54"/>
      <c r="E105" s="54"/>
      <c r="F105" s="194"/>
      <c r="G105" s="483"/>
      <c r="H105" s="483"/>
      <c r="I105" s="483"/>
      <c r="J105" s="483"/>
      <c r="K105" s="483"/>
      <c r="L105" s="483">
        <f t="shared" ref="L105:T105" si="44">(L104-K104)/K104</f>
        <v>7.242209997672179E-2</v>
      </c>
      <c r="M105" s="483">
        <f t="shared" si="44"/>
        <v>3.809384416546472E-2</v>
      </c>
      <c r="N105" s="483">
        <f t="shared" si="44"/>
        <v>7.5203913425506114E-2</v>
      </c>
      <c r="O105" s="483">
        <f t="shared" si="44"/>
        <v>9.2214213847569129E-2</v>
      </c>
      <c r="P105" s="483">
        <f t="shared" si="44"/>
        <v>4.9500038223614332E-2</v>
      </c>
      <c r="Q105" s="483">
        <f t="shared" si="44"/>
        <v>8.595926573694776E-2</v>
      </c>
      <c r="R105" s="483">
        <f t="shared" si="44"/>
        <v>9.0551378103331207E-2</v>
      </c>
      <c r="S105" s="483">
        <f t="shared" si="44"/>
        <v>-4.5206093486132248E-2</v>
      </c>
      <c r="T105" s="483">
        <f t="shared" si="44"/>
        <v>1.8527741031826316E-2</v>
      </c>
    </row>
    <row r="106" spans="1:20" ht="5.25" customHeight="1">
      <c r="A106" s="54"/>
      <c r="B106" s="54"/>
      <c r="C106" s="54"/>
      <c r="D106" s="54"/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/>
      <c r="B107" s="54"/>
      <c r="C107" s="54"/>
      <c r="D107" s="84" t="s">
        <v>139</v>
      </c>
      <c r="E107" s="5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</row>
    <row r="108" spans="1:20">
      <c r="A108" s="54">
        <v>13</v>
      </c>
      <c r="B108" s="84" t="s">
        <v>427</v>
      </c>
      <c r="C108" s="54"/>
      <c r="D108" s="54"/>
      <c r="E108" s="344" t="s">
        <v>450</v>
      </c>
      <c r="F108" s="194">
        <f>F21</f>
        <v>14850</v>
      </c>
      <c r="G108" s="194">
        <f t="shared" ref="G108:R108" si="45">G21</f>
        <v>15202</v>
      </c>
      <c r="H108" s="194">
        <f t="shared" si="45"/>
        <v>20157</v>
      </c>
      <c r="I108" s="194">
        <f t="shared" si="45"/>
        <v>20523</v>
      </c>
      <c r="J108" s="194">
        <f t="shared" si="45"/>
        <v>22312</v>
      </c>
      <c r="K108" s="194">
        <f t="shared" si="45"/>
        <v>22629</v>
      </c>
      <c r="L108" s="194">
        <f t="shared" si="45"/>
        <v>24577</v>
      </c>
      <c r="M108" s="194">
        <f t="shared" si="45"/>
        <v>24877</v>
      </c>
      <c r="N108" s="194">
        <f t="shared" si="45"/>
        <v>23076</v>
      </c>
      <c r="O108" s="194">
        <f t="shared" si="45"/>
        <v>23969</v>
      </c>
      <c r="P108" s="194">
        <f t="shared" si="45"/>
        <v>25008</v>
      </c>
      <c r="Q108" s="194">
        <f t="shared" si="45"/>
        <v>25158</v>
      </c>
      <c r="R108" s="194">
        <f t="shared" si="45"/>
        <v>25680</v>
      </c>
      <c r="S108" s="194">
        <f t="shared" ref="S108:T108" si="46">S21</f>
        <v>23284</v>
      </c>
      <c r="T108" s="194">
        <f t="shared" si="46"/>
        <v>23715</v>
      </c>
    </row>
    <row r="109" spans="1:20">
      <c r="A109" s="54">
        <v>14</v>
      </c>
      <c r="B109" s="84" t="s">
        <v>429</v>
      </c>
      <c r="C109" s="54"/>
      <c r="D109" s="54"/>
      <c r="E109" s="344" t="s">
        <v>451</v>
      </c>
      <c r="F109" s="194">
        <f>F28</f>
        <v>9056</v>
      </c>
      <c r="G109" s="194">
        <f t="shared" ref="G109:R109" si="47">G28</f>
        <v>9178</v>
      </c>
      <c r="H109" s="194">
        <f t="shared" si="47"/>
        <v>9427</v>
      </c>
      <c r="I109" s="194">
        <f t="shared" si="47"/>
        <v>9752</v>
      </c>
      <c r="J109" s="194">
        <f t="shared" si="47"/>
        <v>10067</v>
      </c>
      <c r="K109" s="194">
        <f t="shared" si="47"/>
        <v>10399</v>
      </c>
      <c r="L109" s="194">
        <f t="shared" si="47"/>
        <v>10776</v>
      </c>
      <c r="M109" s="194">
        <f t="shared" si="47"/>
        <v>11333</v>
      </c>
      <c r="N109" s="194">
        <f t="shared" si="47"/>
        <v>15611</v>
      </c>
      <c r="O109" s="194">
        <f t="shared" si="47"/>
        <v>16809</v>
      </c>
      <c r="P109" s="194">
        <f t="shared" si="47"/>
        <v>17985</v>
      </c>
      <c r="Q109" s="194">
        <f t="shared" si="47"/>
        <v>19240</v>
      </c>
      <c r="R109" s="194">
        <f t="shared" si="47"/>
        <v>20749</v>
      </c>
      <c r="S109" s="194">
        <f t="shared" ref="S109:T109" si="48">S28</f>
        <v>22303</v>
      </c>
      <c r="T109" s="194">
        <f t="shared" si="48"/>
        <v>23794</v>
      </c>
    </row>
    <row r="110" spans="1:20">
      <c r="A110" s="54">
        <v>15</v>
      </c>
      <c r="B110" s="40" t="s">
        <v>433</v>
      </c>
      <c r="C110" s="54"/>
      <c r="D110" s="54"/>
      <c r="E110" s="344" t="s">
        <v>452</v>
      </c>
      <c r="F110" s="194">
        <f>F38</f>
        <v>3998</v>
      </c>
      <c r="G110" s="194">
        <f t="shared" ref="G110:R110" si="49">G38</f>
        <v>4414</v>
      </c>
      <c r="H110" s="194">
        <f t="shared" si="49"/>
        <v>6606</v>
      </c>
      <c r="I110" s="194">
        <f t="shared" si="49"/>
        <v>6659</v>
      </c>
      <c r="J110" s="194">
        <f t="shared" si="49"/>
        <v>6072</v>
      </c>
      <c r="K110" s="194">
        <f t="shared" si="49"/>
        <v>6537</v>
      </c>
      <c r="L110" s="194">
        <f t="shared" si="49"/>
        <v>6459</v>
      </c>
      <c r="M110" s="194">
        <f t="shared" si="49"/>
        <v>6739</v>
      </c>
      <c r="N110" s="194">
        <f t="shared" si="49"/>
        <v>7187</v>
      </c>
      <c r="O110" s="194">
        <f t="shared" si="49"/>
        <v>7688</v>
      </c>
      <c r="P110" s="194">
        <f t="shared" si="49"/>
        <v>9277</v>
      </c>
      <c r="Q110" s="194">
        <f t="shared" si="49"/>
        <v>10906</v>
      </c>
      <c r="R110" s="194">
        <f t="shared" si="49"/>
        <v>12517</v>
      </c>
      <c r="S110" s="194">
        <f t="shared" ref="S110:T110" si="50">S38</f>
        <v>14721</v>
      </c>
      <c r="T110" s="194">
        <f t="shared" si="50"/>
        <v>16947</v>
      </c>
    </row>
    <row r="111" spans="1:20" ht="12.6" thickBot="1">
      <c r="A111" s="54">
        <v>16</v>
      </c>
      <c r="B111" s="484" t="s">
        <v>435</v>
      </c>
      <c r="C111" s="54"/>
      <c r="D111" s="54"/>
      <c r="E111" s="54"/>
      <c r="F111" s="482">
        <f>SUM(F108:F110)</f>
        <v>27904</v>
      </c>
      <c r="G111" s="482">
        <f t="shared" ref="G111:R111" si="51">SUM(G108:G110)</f>
        <v>28794</v>
      </c>
      <c r="H111" s="482">
        <f t="shared" si="51"/>
        <v>36190</v>
      </c>
      <c r="I111" s="482">
        <f t="shared" si="51"/>
        <v>36934</v>
      </c>
      <c r="J111" s="482">
        <f t="shared" si="51"/>
        <v>38451</v>
      </c>
      <c r="K111" s="482">
        <f t="shared" si="51"/>
        <v>39565</v>
      </c>
      <c r="L111" s="482">
        <f t="shared" si="51"/>
        <v>41812</v>
      </c>
      <c r="M111" s="482">
        <f t="shared" si="51"/>
        <v>42949</v>
      </c>
      <c r="N111" s="482">
        <f t="shared" si="51"/>
        <v>45874</v>
      </c>
      <c r="O111" s="482">
        <f t="shared" si="51"/>
        <v>48466</v>
      </c>
      <c r="P111" s="482">
        <f t="shared" si="51"/>
        <v>52270</v>
      </c>
      <c r="Q111" s="482">
        <f t="shared" si="51"/>
        <v>55304</v>
      </c>
      <c r="R111" s="482">
        <f t="shared" si="51"/>
        <v>58946</v>
      </c>
      <c r="S111" s="482">
        <f t="shared" ref="S111:T111" si="52">SUM(S108:S110)</f>
        <v>60308</v>
      </c>
      <c r="T111" s="482">
        <f t="shared" si="52"/>
        <v>64456</v>
      </c>
    </row>
    <row r="112" spans="1:20" ht="12.6" thickTop="1">
      <c r="A112" s="54"/>
      <c r="B112" s="54"/>
      <c r="C112" s="54"/>
      <c r="D112" s="54"/>
      <c r="E112" s="54"/>
      <c r="F112" s="194"/>
      <c r="G112" s="483">
        <f>(G111-F111)/F111</f>
        <v>3.1895068807339451E-2</v>
      </c>
      <c r="H112" s="483">
        <f t="shared" ref="H112:T112" si="53">(H111-G111)/G111</f>
        <v>0.25685906786135998</v>
      </c>
      <c r="I112" s="483">
        <f t="shared" si="53"/>
        <v>2.0558165239016303E-2</v>
      </c>
      <c r="J112" s="483">
        <f t="shared" si="53"/>
        <v>4.1073265825526617E-2</v>
      </c>
      <c r="K112" s="483">
        <f t="shared" si="53"/>
        <v>2.8971938311097241E-2</v>
      </c>
      <c r="L112" s="483">
        <f t="shared" si="53"/>
        <v>5.6792619739668898E-2</v>
      </c>
      <c r="M112" s="483">
        <f t="shared" si="53"/>
        <v>2.7193150291782264E-2</v>
      </c>
      <c r="N112" s="483">
        <f t="shared" si="53"/>
        <v>6.8104030361591655E-2</v>
      </c>
      <c r="O112" s="483">
        <f t="shared" si="53"/>
        <v>5.6502594061995905E-2</v>
      </c>
      <c r="P112" s="483">
        <f t="shared" si="53"/>
        <v>7.8488012214748479E-2</v>
      </c>
      <c r="Q112" s="483">
        <f t="shared" si="53"/>
        <v>5.8044767553089724E-2</v>
      </c>
      <c r="R112" s="483">
        <f t="shared" si="53"/>
        <v>6.5854187762187183E-2</v>
      </c>
      <c r="S112" s="483">
        <f t="shared" si="53"/>
        <v>2.3105893529671226E-2</v>
      </c>
      <c r="T112" s="483">
        <f t="shared" si="53"/>
        <v>6.8780261325197323E-2</v>
      </c>
    </row>
    <row r="113" spans="1:20">
      <c r="A113" s="54"/>
      <c r="B113" s="54"/>
      <c r="C113" s="54"/>
      <c r="D113" s="54"/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/>
      <c r="B114" s="54"/>
      <c r="C114" s="54"/>
      <c r="D114" s="84" t="s">
        <v>466</v>
      </c>
      <c r="E114" s="5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20">
      <c r="A115" s="54">
        <v>17</v>
      </c>
      <c r="B115" s="84" t="s">
        <v>329</v>
      </c>
      <c r="C115" s="54"/>
      <c r="D115" s="54"/>
      <c r="E115" s="344" t="s">
        <v>453</v>
      </c>
      <c r="F115" s="194">
        <f>F22</f>
        <v>-17964</v>
      </c>
      <c r="G115" s="194">
        <f t="shared" ref="G115:R115" si="54">G22</f>
        <v>-6050</v>
      </c>
      <c r="H115" s="194">
        <f t="shared" si="54"/>
        <v>-6349</v>
      </c>
      <c r="I115" s="194">
        <f t="shared" si="54"/>
        <v>-5608</v>
      </c>
      <c r="J115" s="194">
        <f t="shared" si="54"/>
        <v>567</v>
      </c>
      <c r="K115" s="194">
        <f t="shared" si="54"/>
        <v>-8817</v>
      </c>
      <c r="L115" s="194">
        <f t="shared" si="54"/>
        <v>1168</v>
      </c>
      <c r="M115" s="194">
        <f t="shared" si="54"/>
        <v>-3082</v>
      </c>
      <c r="N115" s="194">
        <f t="shared" si="54"/>
        <v>-1076</v>
      </c>
      <c r="O115" s="194">
        <f t="shared" si="54"/>
        <v>-1703</v>
      </c>
      <c r="P115" s="194">
        <f t="shared" si="54"/>
        <v>-2879</v>
      </c>
      <c r="Q115" s="194">
        <f t="shared" si="54"/>
        <v>403</v>
      </c>
      <c r="R115" s="194">
        <f t="shared" si="54"/>
        <v>-7744</v>
      </c>
      <c r="S115" s="194">
        <f t="shared" ref="S115:T115" si="55">S22</f>
        <v>8629</v>
      </c>
      <c r="T115" s="194">
        <f t="shared" si="55"/>
        <v>8101</v>
      </c>
    </row>
    <row r="116" spans="1:20">
      <c r="A116" s="54">
        <v>18</v>
      </c>
      <c r="B116" s="54"/>
      <c r="C116" s="84" t="s">
        <v>469</v>
      </c>
      <c r="D116" s="54"/>
      <c r="E116" s="54"/>
      <c r="F116" s="194">
        <f>ResX!I24</f>
        <v>16644</v>
      </c>
      <c r="G116" s="194">
        <f>ResX!J24</f>
        <v>1416</v>
      </c>
      <c r="H116" s="194">
        <f>ResX!K24</f>
        <v>7512</v>
      </c>
      <c r="I116" s="194">
        <f>ResX!L24</f>
        <v>6339</v>
      </c>
      <c r="J116" s="194">
        <v>0</v>
      </c>
      <c r="K116" s="194">
        <f>ResX!N24</f>
        <v>9388</v>
      </c>
      <c r="L116" s="194">
        <v>0</v>
      </c>
      <c r="M116" s="194">
        <f>ResX!P24</f>
        <v>5582</v>
      </c>
      <c r="N116" s="194">
        <f>ResX!Q24</f>
        <v>3576</v>
      </c>
      <c r="O116" s="194">
        <f>ResX!R24</f>
        <v>4005</v>
      </c>
      <c r="P116" s="194">
        <f>ResX!S24</f>
        <v>6244</v>
      </c>
      <c r="Q116" s="194">
        <f>ResX!T24</f>
        <v>4610</v>
      </c>
      <c r="R116" s="194">
        <f>ResX!U24</f>
        <v>8327</v>
      </c>
      <c r="S116" s="194">
        <f>ResX!V24</f>
        <v>0</v>
      </c>
      <c r="T116" s="194">
        <f>ResX!W24</f>
        <v>0</v>
      </c>
    </row>
    <row r="117" spans="1:20" ht="12.6" thickBot="1">
      <c r="A117" s="54">
        <v>19</v>
      </c>
      <c r="B117" s="484" t="s">
        <v>330</v>
      </c>
      <c r="C117" s="54"/>
      <c r="D117" s="54"/>
      <c r="E117" s="54"/>
      <c r="F117" s="482">
        <f>SUM(F115:F116)</f>
        <v>-1320</v>
      </c>
      <c r="G117" s="482">
        <f t="shared" ref="G117:R117" si="56">SUM(G115:G116)</f>
        <v>-4634</v>
      </c>
      <c r="H117" s="482">
        <f t="shared" si="56"/>
        <v>1163</v>
      </c>
      <c r="I117" s="482">
        <f t="shared" si="56"/>
        <v>731</v>
      </c>
      <c r="J117" s="482">
        <f t="shared" si="56"/>
        <v>567</v>
      </c>
      <c r="K117" s="482">
        <f t="shared" si="56"/>
        <v>571</v>
      </c>
      <c r="L117" s="482">
        <f t="shared" si="56"/>
        <v>1168</v>
      </c>
      <c r="M117" s="482">
        <f t="shared" si="56"/>
        <v>2500</v>
      </c>
      <c r="N117" s="482">
        <f t="shared" si="56"/>
        <v>2500</v>
      </c>
      <c r="O117" s="482">
        <f t="shared" si="56"/>
        <v>2302</v>
      </c>
      <c r="P117" s="482">
        <f t="shared" si="56"/>
        <v>3365</v>
      </c>
      <c r="Q117" s="482">
        <f t="shared" si="56"/>
        <v>5013</v>
      </c>
      <c r="R117" s="482">
        <f t="shared" si="56"/>
        <v>583</v>
      </c>
      <c r="S117" s="482">
        <f t="shared" ref="S117:T117" si="57">SUM(S115:S116)</f>
        <v>8629</v>
      </c>
      <c r="T117" s="482">
        <f t="shared" si="57"/>
        <v>8101</v>
      </c>
    </row>
    <row r="118" spans="1:20" ht="6" customHeight="1" thickTop="1">
      <c r="A118" s="54"/>
      <c r="B118" s="54"/>
      <c r="C118" s="54"/>
      <c r="D118" s="54"/>
      <c r="E118" s="54"/>
      <c r="F118" s="194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</row>
    <row r="119" spans="1:20" ht="5.25" customHeight="1">
      <c r="A119" s="54"/>
      <c r="B119" s="54"/>
      <c r="C119" s="54"/>
      <c r="D119" s="54"/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/>
      <c r="B120" s="84"/>
      <c r="C120" s="54"/>
      <c r="D120" s="84" t="s">
        <v>485</v>
      </c>
      <c r="E120" s="5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</row>
    <row r="121" spans="1:20">
      <c r="A121" s="54">
        <v>20</v>
      </c>
      <c r="B121" s="84" t="s">
        <v>427</v>
      </c>
      <c r="C121" s="54"/>
      <c r="D121" s="54"/>
      <c r="E121" s="344" t="s">
        <v>454</v>
      </c>
      <c r="F121" s="194">
        <f>F23</f>
        <v>9346</v>
      </c>
      <c r="G121" s="194">
        <f t="shared" ref="G121:M121" si="58">G23</f>
        <v>5139</v>
      </c>
      <c r="H121" s="194">
        <f t="shared" si="58"/>
        <v>7164</v>
      </c>
      <c r="I121" s="194">
        <f t="shared" si="58"/>
        <v>6722</v>
      </c>
      <c r="J121" s="194">
        <f t="shared" si="58"/>
        <v>7283</v>
      </c>
      <c r="K121" s="194">
        <f t="shared" si="58"/>
        <v>9900</v>
      </c>
      <c r="L121" s="194">
        <f t="shared" si="58"/>
        <v>9115</v>
      </c>
      <c r="M121" s="194">
        <f t="shared" si="58"/>
        <v>8319</v>
      </c>
      <c r="N121" s="194">
        <f>N23</f>
        <v>8146</v>
      </c>
      <c r="O121" s="194">
        <f t="shared" ref="O121:R121" si="59">O23</f>
        <v>9014</v>
      </c>
      <c r="P121" s="194">
        <f t="shared" si="59"/>
        <v>9955</v>
      </c>
      <c r="Q121" s="194">
        <f t="shared" si="59"/>
        <v>10846</v>
      </c>
      <c r="R121" s="194">
        <f t="shared" si="59"/>
        <v>11456</v>
      </c>
      <c r="S121" s="194">
        <f t="shared" ref="S121" si="60">S23</f>
        <v>12913</v>
      </c>
      <c r="T121" s="194">
        <f>T23</f>
        <v>12828</v>
      </c>
    </row>
    <row r="122" spans="1:20">
      <c r="A122" s="54">
        <v>21</v>
      </c>
      <c r="B122" s="84" t="s">
        <v>429</v>
      </c>
      <c r="C122" s="54"/>
      <c r="D122" s="54"/>
      <c r="E122" s="344" t="s">
        <v>455</v>
      </c>
      <c r="F122" s="194">
        <f>F29</f>
        <v>11693</v>
      </c>
      <c r="G122" s="194">
        <f t="shared" ref="G122:M122" si="61">G29</f>
        <v>15462</v>
      </c>
      <c r="H122" s="194">
        <f t="shared" si="61"/>
        <v>16996</v>
      </c>
      <c r="I122" s="194">
        <f t="shared" si="61"/>
        <v>17286</v>
      </c>
      <c r="J122" s="194">
        <f t="shared" si="61"/>
        <v>17401</v>
      </c>
      <c r="K122" s="194">
        <f t="shared" si="61"/>
        <v>14988</v>
      </c>
      <c r="L122" s="194">
        <f t="shared" si="61"/>
        <v>16307</v>
      </c>
      <c r="M122" s="194">
        <f t="shared" si="61"/>
        <v>16156</v>
      </c>
      <c r="N122" s="194">
        <f>N29</f>
        <v>17416</v>
      </c>
      <c r="O122" s="194">
        <f t="shared" ref="O122:R122" si="62">O29</f>
        <v>18207</v>
      </c>
      <c r="P122" s="194">
        <f t="shared" si="62"/>
        <v>19990</v>
      </c>
      <c r="Q122" s="194">
        <f t="shared" si="62"/>
        <v>22393.453812</v>
      </c>
      <c r="R122" s="194">
        <f t="shared" si="62"/>
        <v>22594.925350000001</v>
      </c>
      <c r="S122" s="194">
        <f t="shared" ref="S122:T122" si="63">S29</f>
        <v>23288</v>
      </c>
      <c r="T122" s="194">
        <f t="shared" si="63"/>
        <v>25575</v>
      </c>
    </row>
    <row r="123" spans="1:20">
      <c r="A123" s="54">
        <v>22</v>
      </c>
      <c r="B123" s="40" t="s">
        <v>433</v>
      </c>
      <c r="C123" s="54"/>
      <c r="D123" s="54"/>
      <c r="E123" s="344" t="s">
        <v>456</v>
      </c>
      <c r="F123" s="194">
        <f>F39</f>
        <v>5</v>
      </c>
      <c r="G123" s="194">
        <f t="shared" ref="G123:M123" si="64">G39</f>
        <v>2</v>
      </c>
      <c r="H123" s="194">
        <f t="shared" si="64"/>
        <v>1</v>
      </c>
      <c r="I123" s="194">
        <f t="shared" si="64"/>
        <v>2</v>
      </c>
      <c r="J123" s="194">
        <f t="shared" si="64"/>
        <v>3</v>
      </c>
      <c r="K123" s="194">
        <f t="shared" si="64"/>
        <v>-4</v>
      </c>
      <c r="L123" s="194">
        <f t="shared" si="64"/>
        <v>0</v>
      </c>
      <c r="M123" s="194">
        <f t="shared" si="64"/>
        <v>-9</v>
      </c>
      <c r="N123" s="194">
        <f>N39</f>
        <v>-3</v>
      </c>
      <c r="O123" s="194">
        <f t="shared" ref="O123:R123" si="65">O39</f>
        <v>-3</v>
      </c>
      <c r="P123" s="194">
        <f t="shared" si="65"/>
        <v>2</v>
      </c>
      <c r="Q123" s="194">
        <f t="shared" si="65"/>
        <v>0</v>
      </c>
      <c r="R123" s="194">
        <f t="shared" si="65"/>
        <v>-4</v>
      </c>
      <c r="S123" s="194">
        <f t="shared" ref="S123:T123" si="66">S39</f>
        <v>0</v>
      </c>
      <c r="T123" s="194">
        <f t="shared" si="66"/>
        <v>0</v>
      </c>
    </row>
    <row r="124" spans="1:20">
      <c r="A124" s="54">
        <v>23</v>
      </c>
      <c r="B124" s="84" t="s">
        <v>436</v>
      </c>
      <c r="C124" s="54"/>
      <c r="D124" s="54"/>
      <c r="E124" s="54"/>
      <c r="F124" s="415">
        <f>SUM(F121:F123)</f>
        <v>21044</v>
      </c>
      <c r="G124" s="415">
        <f t="shared" ref="G124:M124" si="67">SUM(G121:G123)</f>
        <v>20603</v>
      </c>
      <c r="H124" s="415">
        <f t="shared" si="67"/>
        <v>24161</v>
      </c>
      <c r="I124" s="415">
        <f t="shared" si="67"/>
        <v>24010</v>
      </c>
      <c r="J124" s="415">
        <f t="shared" si="67"/>
        <v>24687</v>
      </c>
      <c r="K124" s="415">
        <f t="shared" si="67"/>
        <v>24884</v>
      </c>
      <c r="L124" s="415">
        <f t="shared" si="67"/>
        <v>25422</v>
      </c>
      <c r="M124" s="415">
        <f t="shared" si="67"/>
        <v>24466</v>
      </c>
      <c r="N124" s="415">
        <f>SUM(N121:N123)</f>
        <v>25559</v>
      </c>
      <c r="O124" s="415">
        <f t="shared" ref="O124" si="68">SUM(O121:O123)</f>
        <v>27218</v>
      </c>
      <c r="P124" s="415">
        <f t="shared" ref="P124" si="69">SUM(P121:P123)</f>
        <v>29947</v>
      </c>
      <c r="Q124" s="415">
        <f t="shared" ref="Q124" si="70">SUM(Q121:Q123)</f>
        <v>33239.453812</v>
      </c>
      <c r="R124" s="415">
        <f t="shared" ref="R124:S124" si="71">SUM(R121:R123)</f>
        <v>34046.925350000005</v>
      </c>
      <c r="S124" s="415">
        <f t="shared" si="71"/>
        <v>36201</v>
      </c>
      <c r="T124" s="415">
        <f t="shared" ref="T124" si="72">SUM(T121:T123)</f>
        <v>38403</v>
      </c>
    </row>
    <row r="125" spans="1:20">
      <c r="A125" s="54">
        <v>24</v>
      </c>
      <c r="B125" s="54"/>
      <c r="C125" s="84" t="s">
        <v>437</v>
      </c>
      <c r="D125" s="54"/>
      <c r="E125" s="54"/>
      <c r="F125" s="194">
        <f>DSM!I31</f>
        <v>-139.02702071018319</v>
      </c>
      <c r="G125" s="194">
        <f>DSM!J31</f>
        <v>-204.8861757430931</v>
      </c>
      <c r="H125" s="194">
        <f>DSM!K31</f>
        <v>-244.86199639458349</v>
      </c>
      <c r="I125" s="194">
        <f>DSM!L31</f>
        <v>-247.52705110468284</v>
      </c>
      <c r="J125" s="194">
        <v>0</v>
      </c>
      <c r="K125" s="194">
        <f>DSM!N31</f>
        <v>-266.79687571981992</v>
      </c>
      <c r="L125" s="194">
        <v>0</v>
      </c>
      <c r="M125" s="194">
        <f>DSM!P31</f>
        <v>-269.17899068160403</v>
      </c>
      <c r="N125" s="194">
        <f>DSM!Q31</f>
        <v>-488.21244267615958</v>
      </c>
      <c r="O125" s="194">
        <f>DSM!R31</f>
        <v>-762.2767877709141</v>
      </c>
      <c r="P125" s="194">
        <f>DSM!S31</f>
        <v>-786.62281017694488</v>
      </c>
      <c r="Q125" s="194">
        <f>DSM!T31</f>
        <v>-811.61482986074759</v>
      </c>
      <c r="R125" s="194">
        <f>DSM!U31</f>
        <v>-682.57687362579838</v>
      </c>
      <c r="S125" s="194">
        <f>DSM!V31</f>
        <v>0</v>
      </c>
      <c r="T125" s="194">
        <f>DSM!W31</f>
        <v>0</v>
      </c>
    </row>
    <row r="126" spans="1:20">
      <c r="A126" s="54">
        <v>25</v>
      </c>
      <c r="B126" s="54"/>
      <c r="C126" s="84" t="s">
        <v>438</v>
      </c>
      <c r="D126" s="54"/>
      <c r="E126" s="54"/>
      <c r="F126" s="194">
        <f>ResX!I31</f>
        <v>672.07834234687459</v>
      </c>
      <c r="G126" s="194">
        <f>ResX!J31</f>
        <v>57.177537416677147</v>
      </c>
      <c r="H126" s="194">
        <f>ResX!K31</f>
        <v>303.33168154949061</v>
      </c>
      <c r="I126" s="194">
        <f>ResX!L31</f>
        <v>255.96639101999747</v>
      </c>
      <c r="J126" s="194">
        <v>0</v>
      </c>
      <c r="K126" s="194">
        <f>ResX!N31</f>
        <v>379.03890273269815</v>
      </c>
      <c r="L126" s="194">
        <v>0</v>
      </c>
      <c r="M126" s="194">
        <f>ResX!P31</f>
        <v>225.37230028269292</v>
      </c>
      <c r="N126" s="194">
        <f>ResX!Q31</f>
        <v>144.3803915820333</v>
      </c>
      <c r="O126" s="194">
        <f>ResX!R31</f>
        <v>161.701193592294</v>
      </c>
      <c r="P126" s="194">
        <f>ResX!S31</f>
        <v>252.10043765050779</v>
      </c>
      <c r="Q126" s="194">
        <f>ResX!T31</f>
        <v>186.12796565804626</v>
      </c>
      <c r="R126" s="194">
        <f>ResX!U31</f>
        <v>336.20120825044501</v>
      </c>
      <c r="S126" s="194">
        <f>ResX!V31</f>
        <v>0</v>
      </c>
      <c r="T126" s="194">
        <f>ResX!W31</f>
        <v>0</v>
      </c>
    </row>
    <row r="127" spans="1:20" ht="12.6" thickBot="1">
      <c r="A127" s="54">
        <v>26</v>
      </c>
      <c r="B127" s="484" t="s">
        <v>439</v>
      </c>
      <c r="C127" s="54"/>
      <c r="D127" s="54"/>
      <c r="E127" s="54"/>
      <c r="F127" s="482">
        <f>SUM(F124:F126)</f>
        <v>21577.051321636693</v>
      </c>
      <c r="G127" s="482">
        <f t="shared" ref="G127:R127" si="73">SUM(G124:G126)</f>
        <v>20455.291361673582</v>
      </c>
      <c r="H127" s="482">
        <f t="shared" si="73"/>
        <v>24219.469685154909</v>
      </c>
      <c r="I127" s="482">
        <f t="shared" si="73"/>
        <v>24018.439339915312</v>
      </c>
      <c r="J127" s="482">
        <f t="shared" si="73"/>
        <v>24687</v>
      </c>
      <c r="K127" s="482">
        <f t="shared" si="73"/>
        <v>24996.242027012875</v>
      </c>
      <c r="L127" s="482">
        <f t="shared" si="73"/>
        <v>25422</v>
      </c>
      <c r="M127" s="482">
        <f t="shared" si="73"/>
        <v>24422.193309601087</v>
      </c>
      <c r="N127" s="482">
        <f t="shared" si="73"/>
        <v>25215.167948905873</v>
      </c>
      <c r="O127" s="482">
        <f t="shared" si="73"/>
        <v>26617.424405821377</v>
      </c>
      <c r="P127" s="482">
        <f t="shared" si="73"/>
        <v>29412.477627473563</v>
      </c>
      <c r="Q127" s="482">
        <f t="shared" si="73"/>
        <v>32613.966947797297</v>
      </c>
      <c r="R127" s="482">
        <f t="shared" si="73"/>
        <v>33700.549684624653</v>
      </c>
      <c r="S127" s="482">
        <f t="shared" ref="S127:T127" si="74">SUM(S124:S126)</f>
        <v>36201</v>
      </c>
      <c r="T127" s="482">
        <f t="shared" si="74"/>
        <v>38403</v>
      </c>
    </row>
    <row r="128" spans="1:20" ht="12.6" thickTop="1">
      <c r="A128" s="54"/>
      <c r="B128" s="54"/>
      <c r="C128" s="54"/>
      <c r="D128" s="54"/>
      <c r="E128" s="54"/>
      <c r="F128" s="194"/>
      <c r="G128" s="483">
        <f>(G127-F127)/F127</f>
        <v>-5.1988566150289947E-2</v>
      </c>
      <c r="H128" s="483">
        <f t="shared" ref="H128:T128" si="75">(H127-G127)/G127</f>
        <v>0.18401978524413226</v>
      </c>
      <c r="I128" s="483">
        <f t="shared" si="75"/>
        <v>-8.3003611496421867E-3</v>
      </c>
      <c r="J128" s="483">
        <f t="shared" si="75"/>
        <v>2.7835308140676428E-2</v>
      </c>
      <c r="K128" s="483">
        <f t="shared" si="75"/>
        <v>1.2526513023570099E-2</v>
      </c>
      <c r="L128" s="483">
        <f t="shared" si="75"/>
        <v>1.7032879283494611E-2</v>
      </c>
      <c r="M128" s="483">
        <f t="shared" si="75"/>
        <v>-3.9328404153839702E-2</v>
      </c>
      <c r="N128" s="483">
        <f t="shared" si="75"/>
        <v>3.2469427673928221E-2</v>
      </c>
      <c r="O128" s="483">
        <f t="shared" si="75"/>
        <v>5.5611624707673224E-2</v>
      </c>
      <c r="P128" s="483">
        <f t="shared" si="75"/>
        <v>0.10500840273038936</v>
      </c>
      <c r="Q128" s="483">
        <f t="shared" si="75"/>
        <v>0.10884799848800535</v>
      </c>
      <c r="R128" s="483">
        <f t="shared" si="75"/>
        <v>3.3316484884116281E-2</v>
      </c>
      <c r="S128" s="483">
        <f t="shared" si="75"/>
        <v>7.4196128513480536E-2</v>
      </c>
      <c r="T128" s="483">
        <f t="shared" si="75"/>
        <v>6.0827048976547608E-2</v>
      </c>
    </row>
    <row r="129" spans="1:20" ht="5.25" customHeight="1">
      <c r="A129" s="54"/>
      <c r="B129" s="84"/>
      <c r="C129" s="54"/>
      <c r="D129" s="54"/>
      <c r="E129" s="5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</row>
    <row r="130" spans="1:20" ht="12.6" thickBot="1">
      <c r="A130" s="54">
        <v>27</v>
      </c>
      <c r="B130" s="484" t="s">
        <v>440</v>
      </c>
      <c r="C130" s="54"/>
      <c r="D130" s="54"/>
      <c r="E130" s="344" t="s">
        <v>457</v>
      </c>
      <c r="F130" s="482">
        <f>F78</f>
        <v>649149</v>
      </c>
      <c r="G130" s="482">
        <f t="shared" ref="G130:R130" si="76">G78</f>
        <v>662278</v>
      </c>
      <c r="H130" s="482">
        <f t="shared" si="76"/>
        <v>739502</v>
      </c>
      <c r="I130" s="482">
        <f t="shared" si="76"/>
        <v>720602</v>
      </c>
      <c r="J130" s="482">
        <f t="shared" si="76"/>
        <v>757756</v>
      </c>
      <c r="K130" s="482">
        <f t="shared" si="76"/>
        <v>799091</v>
      </c>
      <c r="L130" s="482">
        <f t="shared" si="76"/>
        <v>855712</v>
      </c>
      <c r="M130" s="482">
        <f t="shared" si="76"/>
        <v>870835</v>
      </c>
      <c r="N130" s="482">
        <f t="shared" si="76"/>
        <v>917247</v>
      </c>
      <c r="O130" s="482">
        <f t="shared" si="76"/>
        <v>987243</v>
      </c>
      <c r="P130" s="482">
        <f t="shared" si="76"/>
        <v>1036064</v>
      </c>
      <c r="Q130" s="482">
        <f t="shared" si="76"/>
        <v>1087141</v>
      </c>
      <c r="R130" s="482">
        <f t="shared" si="76"/>
        <v>1131570</v>
      </c>
      <c r="S130" s="482">
        <f t="shared" ref="S130:T130" si="77">S78</f>
        <v>1195010</v>
      </c>
      <c r="T130" s="482">
        <f t="shared" si="77"/>
        <v>1214504</v>
      </c>
    </row>
    <row r="131" spans="1:20" ht="12.6" thickTop="1">
      <c r="A131" s="54"/>
      <c r="B131" s="54"/>
      <c r="C131" s="54"/>
      <c r="D131" s="54"/>
      <c r="E131" s="54"/>
      <c r="F131" s="194"/>
      <c r="G131" s="483">
        <f>(G130-F130)/F130</f>
        <v>2.0224940653070404E-2</v>
      </c>
      <c r="H131" s="483">
        <f t="shared" ref="H131:T131" si="78">(H130-G130)/G130</f>
        <v>0.11660360150873199</v>
      </c>
      <c r="I131" s="483">
        <f t="shared" si="78"/>
        <v>-2.5557740208951428E-2</v>
      </c>
      <c r="J131" s="483">
        <f t="shared" si="78"/>
        <v>5.1559668166338703E-2</v>
      </c>
      <c r="K131" s="483">
        <f t="shared" si="78"/>
        <v>5.4549221649185228E-2</v>
      </c>
      <c r="L131" s="483">
        <f t="shared" si="78"/>
        <v>7.0856760994680204E-2</v>
      </c>
      <c r="M131" s="483">
        <f t="shared" si="78"/>
        <v>1.7673002131558282E-2</v>
      </c>
      <c r="N131" s="483">
        <f t="shared" si="78"/>
        <v>5.3295974553158751E-2</v>
      </c>
      <c r="O131" s="483">
        <f t="shared" si="78"/>
        <v>7.6310960951630258E-2</v>
      </c>
      <c r="P131" s="483">
        <f t="shared" si="78"/>
        <v>4.9451857344139184E-2</v>
      </c>
      <c r="Q131" s="483">
        <f t="shared" si="78"/>
        <v>4.9299078049232482E-2</v>
      </c>
      <c r="R131" s="483">
        <f t="shared" si="78"/>
        <v>4.0867743926500798E-2</v>
      </c>
      <c r="S131" s="483">
        <f t="shared" si="78"/>
        <v>5.6063699108318529E-2</v>
      </c>
      <c r="T131" s="483">
        <f t="shared" si="78"/>
        <v>1.631283420222425E-2</v>
      </c>
    </row>
    <row r="132" spans="1:20" ht="4.5" customHeight="1">
      <c r="A132" s="54"/>
      <c r="B132" s="484"/>
      <c r="C132" s="54"/>
      <c r="D132" s="54"/>
      <c r="E132" s="34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</row>
    <row r="133" spans="1:20" ht="12.6" thickBot="1">
      <c r="A133" s="54">
        <v>28</v>
      </c>
      <c r="B133" s="484" t="s">
        <v>441</v>
      </c>
      <c r="C133" s="54"/>
      <c r="D133" s="54"/>
      <c r="E133" s="344" t="s">
        <v>458</v>
      </c>
      <c r="F133" s="482">
        <f>F82</f>
        <v>568492</v>
      </c>
      <c r="G133" s="482">
        <f t="shared" ref="G133:R133" si="79">G82</f>
        <v>597515</v>
      </c>
      <c r="H133" s="482">
        <f t="shared" si="79"/>
        <v>761858</v>
      </c>
      <c r="I133" s="482">
        <f t="shared" si="79"/>
        <v>742443</v>
      </c>
      <c r="J133" s="482">
        <f t="shared" si="79"/>
        <v>778011</v>
      </c>
      <c r="K133" s="482">
        <f t="shared" si="79"/>
        <v>819842</v>
      </c>
      <c r="L133" s="482">
        <f t="shared" si="79"/>
        <v>874511</v>
      </c>
      <c r="M133" s="482">
        <f t="shared" si="79"/>
        <v>891855</v>
      </c>
      <c r="N133" s="482">
        <f t="shared" si="79"/>
        <v>936840</v>
      </c>
      <c r="O133" s="482">
        <f t="shared" si="79"/>
        <v>1005019</v>
      </c>
      <c r="P133" s="482">
        <f t="shared" si="79"/>
        <v>1072028</v>
      </c>
      <c r="Q133" s="482">
        <f t="shared" si="79"/>
        <v>1137863</v>
      </c>
      <c r="R133" s="482">
        <f t="shared" si="79"/>
        <v>1158975</v>
      </c>
      <c r="S133" s="482">
        <f t="shared" ref="S133:T133" si="80">S82</f>
        <v>1226052</v>
      </c>
      <c r="T133" s="482">
        <f t="shared" si="80"/>
        <v>1273157</v>
      </c>
    </row>
    <row r="134" spans="1:20" ht="12.6" thickTop="1">
      <c r="A134" s="54"/>
      <c r="B134" s="54"/>
      <c r="C134" s="54"/>
      <c r="D134" s="54"/>
      <c r="E134" s="54"/>
      <c r="F134" s="194"/>
      <c r="G134" s="483">
        <f>(G133-F133)/F133</f>
        <v>5.1052609359498465E-2</v>
      </c>
      <c r="H134" s="483">
        <f t="shared" ref="H134:T134" si="81">(H133-G133)/G133</f>
        <v>0.27504414115126818</v>
      </c>
      <c r="I134" s="483">
        <f t="shared" si="81"/>
        <v>-2.5483751565252316E-2</v>
      </c>
      <c r="J134" s="483">
        <f t="shared" si="81"/>
        <v>4.7906707989704263E-2</v>
      </c>
      <c r="K134" s="483">
        <f t="shared" si="81"/>
        <v>5.3766591989059281E-2</v>
      </c>
      <c r="L134" s="483">
        <f t="shared" si="81"/>
        <v>6.6682360747558678E-2</v>
      </c>
      <c r="M134" s="483">
        <f t="shared" si="81"/>
        <v>1.9832797986531901E-2</v>
      </c>
      <c r="N134" s="483">
        <f t="shared" si="81"/>
        <v>5.0439813646837209E-2</v>
      </c>
      <c r="O134" s="483">
        <f t="shared" si="81"/>
        <v>7.2775500619102512E-2</v>
      </c>
      <c r="P134" s="483">
        <f t="shared" si="81"/>
        <v>6.6674361380232611E-2</v>
      </c>
      <c r="Q134" s="483">
        <f t="shared" si="81"/>
        <v>6.1411642233225254E-2</v>
      </c>
      <c r="R134" s="483">
        <f t="shared" si="81"/>
        <v>1.855407900599633E-2</v>
      </c>
      <c r="S134" s="483">
        <f t="shared" si="81"/>
        <v>5.7876140555231992E-2</v>
      </c>
      <c r="T134" s="483">
        <f t="shared" si="81"/>
        <v>3.8420067011839629E-2</v>
      </c>
    </row>
    <row r="135" spans="1:20" ht="4.5" customHeight="1">
      <c r="A135" s="54"/>
      <c r="B135" s="54"/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/>
      <c r="B136" s="84" t="s">
        <v>442</v>
      </c>
      <c r="C136" s="54"/>
      <c r="D136" s="54"/>
      <c r="E136" s="5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</row>
    <row r="137" spans="1:20">
      <c r="A137" s="54">
        <v>29</v>
      </c>
      <c r="B137" s="84" t="s">
        <v>459</v>
      </c>
      <c r="C137" s="54"/>
      <c r="D137" s="54"/>
      <c r="E137" s="344" t="s">
        <v>460</v>
      </c>
      <c r="F137" s="194">
        <f>F14</f>
        <v>13062</v>
      </c>
      <c r="G137" s="194">
        <f t="shared" ref="G137:R137" si="82">G14</f>
        <v>14305</v>
      </c>
      <c r="H137" s="194">
        <f t="shared" si="82"/>
        <v>34274</v>
      </c>
      <c r="I137" s="194">
        <f t="shared" si="82"/>
        <v>57244</v>
      </c>
      <c r="J137" s="194">
        <f t="shared" si="82"/>
        <v>8587</v>
      </c>
      <c r="K137" s="194">
        <f t="shared" si="82"/>
        <v>10259</v>
      </c>
      <c r="L137" s="194">
        <f t="shared" si="82"/>
        <v>10178</v>
      </c>
      <c r="M137" s="194">
        <f t="shared" si="82"/>
        <v>10170</v>
      </c>
      <c r="N137" s="194">
        <f t="shared" si="82"/>
        <v>10927</v>
      </c>
      <c r="O137" s="194">
        <f t="shared" si="82"/>
        <v>9395</v>
      </c>
      <c r="P137" s="194">
        <f t="shared" si="82"/>
        <v>11786</v>
      </c>
      <c r="Q137" s="194">
        <f t="shared" si="82"/>
        <v>13666</v>
      </c>
      <c r="R137" s="194">
        <f t="shared" si="82"/>
        <v>13089</v>
      </c>
      <c r="S137" s="194">
        <f t="shared" ref="S137:T137" si="83">S14</f>
        <v>13408</v>
      </c>
      <c r="T137" s="194">
        <f t="shared" si="83"/>
        <v>17163</v>
      </c>
    </row>
    <row r="138" spans="1:20">
      <c r="A138" s="54">
        <v>30</v>
      </c>
      <c r="B138" s="84"/>
      <c r="C138" s="84" t="s">
        <v>461</v>
      </c>
      <c r="D138" s="54"/>
      <c r="E138" s="54"/>
      <c r="F138" s="194">
        <f>-'Other Rev'!E16</f>
        <v>-7824</v>
      </c>
      <c r="G138" s="194">
        <f>-'Other Rev'!F19</f>
        <v>-2251</v>
      </c>
      <c r="H138" s="194">
        <f>-'Other Rev'!G19</f>
        <v>-25293</v>
      </c>
      <c r="I138" s="194">
        <f>-'Other Rev'!H19</f>
        <v>-47139</v>
      </c>
      <c r="J138" s="194">
        <f>-'Other Rev'!I19</f>
        <v>-285</v>
      </c>
      <c r="K138" s="194">
        <f>-'Other Rev'!J19</f>
        <v>-179.11379999999997</v>
      </c>
      <c r="L138" s="194">
        <f>-'Other Rev'!K19</f>
        <v>-198</v>
      </c>
      <c r="M138" s="194">
        <f>-'Other Rev'!L19</f>
        <v>-221</v>
      </c>
      <c r="N138" s="194">
        <f>-'Other Rev'!M19</f>
        <v>-1839</v>
      </c>
      <c r="O138" s="194">
        <f>-'Other Rev'!N19</f>
        <v>-448.37979999999999</v>
      </c>
      <c r="P138" s="194">
        <f>-'Other Rev'!O19</f>
        <v>-639.87119999999993</v>
      </c>
      <c r="Q138" s="194">
        <f>-'Other Rev'!P19</f>
        <v>-1751.694</v>
      </c>
      <c r="R138" s="194">
        <f>-'Other Rev'!Q19</f>
        <v>-1489.3194000000001</v>
      </c>
      <c r="S138" s="194">
        <f>-'Other Rev'!R19</f>
        <v>-282</v>
      </c>
      <c r="T138" s="194">
        <f>-'Other Rev'!S19</f>
        <v>-3062.3724999999999</v>
      </c>
    </row>
    <row r="139" spans="1:20">
      <c r="A139" s="54">
        <v>31</v>
      </c>
      <c r="B139" s="84"/>
      <c r="C139" s="84" t="s">
        <v>462</v>
      </c>
      <c r="D139" s="54"/>
      <c r="E139" s="54"/>
      <c r="F139" s="194">
        <f>-'Other Rev'!E19</f>
        <v>-3487.7256000000007</v>
      </c>
      <c r="G139" s="194">
        <f>-'Other Rev'!F16</f>
        <v>-9892</v>
      </c>
      <c r="H139" s="194">
        <f>-'Other Rev'!G16</f>
        <v>-7115</v>
      </c>
      <c r="I139" s="194">
        <f>-'Other Rev'!H16</f>
        <v>-7569</v>
      </c>
      <c r="J139" s="194">
        <f>-'Other Rev'!I16</f>
        <v>-5523</v>
      </c>
      <c r="K139" s="194">
        <f>-'Other Rev'!J16</f>
        <v>-6637</v>
      </c>
      <c r="L139" s="194">
        <f>-'Other Rev'!K16</f>
        <v>-7024</v>
      </c>
      <c r="M139" s="194">
        <f>-'Other Rev'!L16</f>
        <v>-6876</v>
      </c>
      <c r="N139" s="194">
        <f>-'Other Rev'!M16</f>
        <v>-6213</v>
      </c>
      <c r="O139" s="194">
        <f>-'Other Rev'!N16</f>
        <v>-6133</v>
      </c>
      <c r="P139" s="194">
        <f>-'Other Rev'!O16</f>
        <v>-8333</v>
      </c>
      <c r="Q139" s="194">
        <f>-'Other Rev'!P16</f>
        <v>-9102</v>
      </c>
      <c r="R139" s="194">
        <f>-'Other Rev'!Q16</f>
        <v>-8285</v>
      </c>
      <c r="S139" s="194">
        <f>-'Other Rev'!R16</f>
        <v>-9662</v>
      </c>
      <c r="T139" s="194">
        <f>-'Other Rev'!S16</f>
        <v>-10622.4344</v>
      </c>
    </row>
    <row r="140" spans="1:20" ht="12.6" thickBot="1">
      <c r="A140" s="54">
        <v>32</v>
      </c>
      <c r="B140" s="484" t="s">
        <v>377</v>
      </c>
      <c r="C140" s="84"/>
      <c r="D140" s="54"/>
      <c r="E140" s="54"/>
      <c r="F140" s="482">
        <f>SUM(F137:F139)</f>
        <v>1750.2743999999993</v>
      </c>
      <c r="G140" s="482">
        <f t="shared" ref="G140:R140" si="84">SUM(G137:G139)</f>
        <v>2162</v>
      </c>
      <c r="H140" s="482">
        <f t="shared" si="84"/>
        <v>1866</v>
      </c>
      <c r="I140" s="482">
        <f t="shared" si="84"/>
        <v>2536</v>
      </c>
      <c r="J140" s="482">
        <f t="shared" si="84"/>
        <v>2779</v>
      </c>
      <c r="K140" s="482">
        <f t="shared" si="84"/>
        <v>3442.8862000000008</v>
      </c>
      <c r="L140" s="482">
        <f t="shared" si="84"/>
        <v>2956</v>
      </c>
      <c r="M140" s="482">
        <f t="shared" si="84"/>
        <v>3073</v>
      </c>
      <c r="N140" s="482">
        <f t="shared" si="84"/>
        <v>2875</v>
      </c>
      <c r="O140" s="482">
        <f t="shared" si="84"/>
        <v>2813.6201999999994</v>
      </c>
      <c r="P140" s="482">
        <f t="shared" si="84"/>
        <v>2813.1288000000004</v>
      </c>
      <c r="Q140" s="482">
        <f t="shared" si="84"/>
        <v>2812.3060000000005</v>
      </c>
      <c r="R140" s="482">
        <f t="shared" si="84"/>
        <v>3314.6805999999997</v>
      </c>
      <c r="S140" s="482">
        <f t="shared" ref="S140:T140" si="85">SUM(S137:S139)</f>
        <v>3464</v>
      </c>
      <c r="T140" s="482">
        <f t="shared" si="85"/>
        <v>3478.1931000000004</v>
      </c>
    </row>
    <row r="141" spans="1:20" ht="12.6" thickTop="1">
      <c r="A141" s="54"/>
      <c r="F141" s="71"/>
      <c r="G141" s="483">
        <f>(G140-F140)/F140</f>
        <v>0.23523488659835329</v>
      </c>
      <c r="H141" s="483">
        <f t="shared" ref="H141:T141" si="86">(H140-G140)/G140</f>
        <v>-0.13691026827012026</v>
      </c>
      <c r="I141" s="483">
        <f t="shared" si="86"/>
        <v>0.35905680600214362</v>
      </c>
      <c r="J141" s="483">
        <f t="shared" si="86"/>
        <v>9.5820189274447951E-2</v>
      </c>
      <c r="K141" s="483">
        <f t="shared" si="86"/>
        <v>0.23889391867578294</v>
      </c>
      <c r="L141" s="483">
        <f t="shared" si="86"/>
        <v>-0.14141803467102709</v>
      </c>
      <c r="M141" s="483">
        <f t="shared" si="86"/>
        <v>3.9580514208389712E-2</v>
      </c>
      <c r="N141" s="483">
        <f t="shared" si="86"/>
        <v>-6.4432150992515452E-2</v>
      </c>
      <c r="O141" s="483">
        <f t="shared" si="86"/>
        <v>-2.1349495652174127E-2</v>
      </c>
      <c r="P141" s="483">
        <f t="shared" si="86"/>
        <v>-1.7465043789455863E-4</v>
      </c>
      <c r="Q141" s="483">
        <f t="shared" si="86"/>
        <v>-2.9248571910390862E-4</v>
      </c>
      <c r="R141" s="483">
        <f t="shared" si="86"/>
        <v>0.17863440180407078</v>
      </c>
      <c r="S141" s="483">
        <f t="shared" si="86"/>
        <v>4.5047899939439209E-2</v>
      </c>
      <c r="T141" s="483">
        <f t="shared" si="86"/>
        <v>4.0973152424943456E-3</v>
      </c>
    </row>
    <row r="142" spans="1:20" ht="4.5" hidden="1" customHeight="1">
      <c r="A142" s="54"/>
      <c r="F142" s="71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155"/>
      <c r="T142" s="155"/>
    </row>
    <row r="143" spans="1:20" ht="4.95" customHeight="1">
      <c r="A143" s="54"/>
      <c r="F143" s="71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155"/>
      <c r="T143" s="155"/>
    </row>
    <row r="144" spans="1:20">
      <c r="A144" s="524" t="s">
        <v>117</v>
      </c>
      <c r="F144" s="71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155"/>
      <c r="T144" s="155"/>
    </row>
    <row r="145" spans="1:20">
      <c r="A145" s="524" t="s">
        <v>471</v>
      </c>
      <c r="F145" s="71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155"/>
      <c r="T145" s="155"/>
    </row>
    <row r="146" spans="1:20">
      <c r="A146" s="524" t="s">
        <v>470</v>
      </c>
      <c r="F146" s="71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155"/>
    </row>
    <row r="147" spans="1:20" ht="0.6" customHeight="1">
      <c r="A147" s="54"/>
      <c r="G147" s="41"/>
      <c r="H147" s="41"/>
      <c r="I147" s="41"/>
      <c r="J147" s="41"/>
      <c r="L147" s="41"/>
      <c r="M147" s="41"/>
      <c r="N147" s="41"/>
      <c r="O147" s="41"/>
      <c r="P147" s="41"/>
      <c r="Q147" s="41"/>
      <c r="R147" s="41"/>
    </row>
    <row r="148" spans="1:20" ht="15.6">
      <c r="A148" s="382" t="s">
        <v>3</v>
      </c>
      <c r="E148" s="916" t="s">
        <v>479</v>
      </c>
      <c r="F148" s="916"/>
      <c r="G148" s="916"/>
      <c r="H148" s="916"/>
      <c r="I148" s="916"/>
      <c r="J148" s="916"/>
      <c r="K148" s="916"/>
      <c r="L148" s="916"/>
      <c r="M148" s="916"/>
      <c r="N148" s="916"/>
      <c r="O148" s="916"/>
      <c r="P148" s="916"/>
      <c r="Q148" s="916"/>
      <c r="R148" s="916"/>
      <c r="T148" s="155"/>
    </row>
    <row r="149" spans="1:20" ht="13.2">
      <c r="A149" s="384" t="s">
        <v>90</v>
      </c>
      <c r="B149" s="385" t="s">
        <v>364</v>
      </c>
      <c r="C149" s="385"/>
      <c r="D149" s="386"/>
      <c r="E149" s="387"/>
      <c r="F149" s="387"/>
      <c r="G149" s="526"/>
      <c r="H149" s="526" t="s">
        <v>365</v>
      </c>
      <c r="I149" s="526" t="s">
        <v>366</v>
      </c>
      <c r="J149" s="526" t="s">
        <v>367</v>
      </c>
      <c r="K149" s="526" t="s">
        <v>368</v>
      </c>
      <c r="L149" s="526" t="s">
        <v>369</v>
      </c>
      <c r="M149" s="526" t="s">
        <v>370</v>
      </c>
      <c r="N149" s="526" t="s">
        <v>371</v>
      </c>
      <c r="O149" s="526" t="s">
        <v>372</v>
      </c>
      <c r="P149" s="526" t="s">
        <v>373</v>
      </c>
      <c r="Q149" s="526" t="s">
        <v>374</v>
      </c>
      <c r="R149" s="526" t="s">
        <v>375</v>
      </c>
      <c r="S149" s="526" t="s">
        <v>492</v>
      </c>
      <c r="T149" s="717" t="s">
        <v>611</v>
      </c>
    </row>
    <row r="150" spans="1:20" ht="13.2">
      <c r="A150" s="388"/>
      <c r="B150"/>
      <c r="C150"/>
      <c r="D150"/>
      <c r="E150"/>
      <c r="F150"/>
      <c r="G150" s="493"/>
      <c r="H150" s="493"/>
      <c r="I150" s="493"/>
      <c r="J150" s="493"/>
      <c r="K150" s="493"/>
      <c r="L150" s="493"/>
      <c r="M150" s="493"/>
      <c r="N150" s="493"/>
      <c r="O150" s="493"/>
      <c r="P150" s="383"/>
      <c r="Q150" s="383"/>
      <c r="R150" s="383"/>
      <c r="S150" s="383"/>
      <c r="T150" s="718"/>
    </row>
    <row r="151" spans="1:20" ht="13.2">
      <c r="A151" s="388">
        <v>1</v>
      </c>
      <c r="B151" s="671" t="s">
        <v>425</v>
      </c>
      <c r="C151"/>
      <c r="D151"/>
      <c r="E151"/>
      <c r="F151"/>
      <c r="G151" s="494"/>
      <c r="H151" s="494">
        <f t="shared" ref="H151:Q151" si="87">(H104-G104)/G104</f>
        <v>0.14768306935658937</v>
      </c>
      <c r="I151" s="494">
        <f t="shared" si="87"/>
        <v>-3.516274610385936E-2</v>
      </c>
      <c r="J151" s="494">
        <f t="shared" si="87"/>
        <v>0.12245077030372288</v>
      </c>
      <c r="K151" s="494">
        <f t="shared" si="87"/>
        <v>9.6827726347769195E-3</v>
      </c>
      <c r="L151" s="494">
        <f t="shared" si="87"/>
        <v>7.242209997672179E-2</v>
      </c>
      <c r="M151" s="494">
        <f t="shared" si="87"/>
        <v>3.809384416546472E-2</v>
      </c>
      <c r="N151" s="494">
        <f t="shared" si="87"/>
        <v>7.5203913425506114E-2</v>
      </c>
      <c r="O151" s="719">
        <f t="shared" si="87"/>
        <v>9.2214213847569129E-2</v>
      </c>
      <c r="P151" s="719">
        <f t="shared" si="87"/>
        <v>4.9500038223614332E-2</v>
      </c>
      <c r="Q151" s="494">
        <f t="shared" si="87"/>
        <v>8.595926573694776E-2</v>
      </c>
      <c r="R151" s="494">
        <f>(R104-Q104)/Q104</f>
        <v>9.0551378103331207E-2</v>
      </c>
      <c r="S151" s="494">
        <f>(S104-R104)/R104</f>
        <v>-4.5206093486132248E-2</v>
      </c>
      <c r="T151" s="719">
        <f>(T104-S104)/S104</f>
        <v>1.8527741031826316E-2</v>
      </c>
    </row>
    <row r="152" spans="1:20" ht="13.2">
      <c r="A152" s="388"/>
      <c r="B152" s="623"/>
      <c r="C152"/>
      <c r="D152"/>
      <c r="E152"/>
      <c r="F152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720"/>
    </row>
    <row r="153" spans="1:20" ht="13.2">
      <c r="A153" s="388">
        <v>2</v>
      </c>
      <c r="B153" s="671" t="s">
        <v>435</v>
      </c>
      <c r="C153"/>
      <c r="D153"/>
      <c r="E153"/>
      <c r="F153"/>
      <c r="G153" s="494"/>
      <c r="H153" s="494">
        <f t="shared" ref="H153:R153" si="88">(H111-G111)/G111</f>
        <v>0.25685906786135998</v>
      </c>
      <c r="I153" s="494">
        <f t="shared" si="88"/>
        <v>2.0558165239016303E-2</v>
      </c>
      <c r="J153" s="494">
        <f t="shared" si="88"/>
        <v>4.1073265825526617E-2</v>
      </c>
      <c r="K153" s="494">
        <f t="shared" si="88"/>
        <v>2.8971938311097241E-2</v>
      </c>
      <c r="L153" s="494">
        <f t="shared" si="88"/>
        <v>5.6792619739668898E-2</v>
      </c>
      <c r="M153" s="494">
        <f t="shared" si="88"/>
        <v>2.7193150291782264E-2</v>
      </c>
      <c r="N153" s="494">
        <f t="shared" si="88"/>
        <v>6.8104030361591655E-2</v>
      </c>
      <c r="O153" s="494">
        <f t="shared" si="88"/>
        <v>5.6502594061995905E-2</v>
      </c>
      <c r="P153" s="494">
        <f t="shared" si="88"/>
        <v>7.8488012214748479E-2</v>
      </c>
      <c r="Q153" s="494">
        <f t="shared" si="88"/>
        <v>5.8044767553089724E-2</v>
      </c>
      <c r="R153" s="494">
        <f t="shared" si="88"/>
        <v>6.5854187762187183E-2</v>
      </c>
      <c r="S153" s="494">
        <f>(S111-R111)/R111</f>
        <v>2.3105893529671226E-2</v>
      </c>
      <c r="T153" s="719">
        <f>(T111-S111)/S111</f>
        <v>6.8780261325197323E-2</v>
      </c>
    </row>
    <row r="154" spans="1:20" ht="13.2">
      <c r="A154" s="388"/>
      <c r="B154" s="623"/>
      <c r="C154"/>
      <c r="D154"/>
      <c r="E154"/>
      <c r="F154"/>
      <c r="G154" s="493"/>
      <c r="H154" s="493"/>
      <c r="I154" s="493"/>
      <c r="J154" s="493"/>
      <c r="K154" s="493"/>
      <c r="L154" s="493"/>
      <c r="M154" s="493"/>
      <c r="N154" s="493"/>
      <c r="O154" s="493"/>
      <c r="P154" s="383"/>
      <c r="Q154" s="383"/>
      <c r="R154" s="383"/>
      <c r="S154" s="383"/>
      <c r="T154" s="718"/>
    </row>
    <row r="155" spans="1:20" ht="13.2">
      <c r="A155" s="388">
        <v>3</v>
      </c>
      <c r="B155" s="392" t="s">
        <v>582</v>
      </c>
      <c r="C155"/>
      <c r="D155"/>
      <c r="E155"/>
      <c r="F155"/>
      <c r="G155" s="494"/>
      <c r="H155" s="494">
        <f t="shared" ref="H155:T155" si="89">(H127-G127)/G127</f>
        <v>0.18401978524413226</v>
      </c>
      <c r="I155" s="494">
        <f t="shared" si="89"/>
        <v>-8.3003611496421867E-3</v>
      </c>
      <c r="J155" s="494">
        <f t="shared" si="89"/>
        <v>2.7835308140676428E-2</v>
      </c>
      <c r="K155" s="494">
        <f t="shared" si="89"/>
        <v>1.2526513023570099E-2</v>
      </c>
      <c r="L155" s="494">
        <f>(L127-K127)/K127</f>
        <v>1.7032879283494611E-2</v>
      </c>
      <c r="M155" s="494">
        <f t="shared" si="89"/>
        <v>-3.9328404153839702E-2</v>
      </c>
      <c r="N155" s="494">
        <f t="shared" si="89"/>
        <v>3.2469427673928221E-2</v>
      </c>
      <c r="O155" s="494">
        <f t="shared" si="89"/>
        <v>5.5611624707673224E-2</v>
      </c>
      <c r="P155" s="494">
        <f t="shared" si="89"/>
        <v>0.10500840273038936</v>
      </c>
      <c r="Q155" s="494">
        <f t="shared" si="89"/>
        <v>0.10884799848800535</v>
      </c>
      <c r="R155" s="494">
        <f t="shared" si="89"/>
        <v>3.3316484884116281E-2</v>
      </c>
      <c r="S155" s="494">
        <f t="shared" si="89"/>
        <v>7.4196128513480536E-2</v>
      </c>
      <c r="T155" s="719">
        <f t="shared" si="89"/>
        <v>6.0827048976547608E-2</v>
      </c>
    </row>
    <row r="156" spans="1:20" ht="13.2">
      <c r="A156" s="388"/>
      <c r="B156" s="623"/>
      <c r="C156"/>
      <c r="D156"/>
      <c r="E156"/>
      <c r="F156"/>
      <c r="G156" s="493"/>
      <c r="H156" s="493"/>
      <c r="I156" s="493"/>
      <c r="J156" s="493"/>
      <c r="K156" s="493"/>
      <c r="L156" s="493"/>
      <c r="M156" s="493"/>
      <c r="N156" s="493"/>
      <c r="O156" s="493"/>
      <c r="P156" s="383"/>
      <c r="Q156" s="383"/>
      <c r="R156" s="383"/>
      <c r="S156" s="383"/>
      <c r="T156" s="718"/>
    </row>
    <row r="157" spans="1:20" ht="13.2">
      <c r="A157" s="388">
        <v>4</v>
      </c>
      <c r="B157" s="493" t="s">
        <v>293</v>
      </c>
      <c r="C157"/>
      <c r="D157"/>
      <c r="E157"/>
      <c r="F157"/>
      <c r="G157" s="494"/>
      <c r="H157" s="494">
        <f t="shared" ref="H157:T157" si="90">(H130-G130)/G130</f>
        <v>0.11660360150873199</v>
      </c>
      <c r="I157" s="494">
        <f t="shared" si="90"/>
        <v>-2.5557740208951428E-2</v>
      </c>
      <c r="J157" s="494">
        <f t="shared" si="90"/>
        <v>5.1559668166338703E-2</v>
      </c>
      <c r="K157" s="494">
        <f t="shared" si="90"/>
        <v>5.4549221649185228E-2</v>
      </c>
      <c r="L157" s="494">
        <f t="shared" si="90"/>
        <v>7.0856760994680204E-2</v>
      </c>
      <c r="M157" s="494">
        <f t="shared" si="90"/>
        <v>1.7673002131558282E-2</v>
      </c>
      <c r="N157" s="494">
        <f t="shared" si="90"/>
        <v>5.3295974553158751E-2</v>
      </c>
      <c r="O157" s="494">
        <f t="shared" si="90"/>
        <v>7.6310960951630258E-2</v>
      </c>
      <c r="P157" s="494">
        <f t="shared" si="90"/>
        <v>4.9451857344139184E-2</v>
      </c>
      <c r="Q157" s="494">
        <f t="shared" si="90"/>
        <v>4.9299078049232482E-2</v>
      </c>
      <c r="R157" s="494">
        <f t="shared" si="90"/>
        <v>4.0867743926500798E-2</v>
      </c>
      <c r="S157" s="494">
        <f t="shared" si="90"/>
        <v>5.6063699108318529E-2</v>
      </c>
      <c r="T157" s="719">
        <f t="shared" si="90"/>
        <v>1.631283420222425E-2</v>
      </c>
    </row>
    <row r="158" spans="1:20" ht="13.2">
      <c r="A158" s="388"/>
      <c r="B158" s="623"/>
      <c r="C158"/>
      <c r="D158"/>
      <c r="E158"/>
      <c r="F158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720"/>
    </row>
    <row r="159" spans="1:20" ht="13.2">
      <c r="A159" s="388">
        <v>5</v>
      </c>
      <c r="B159" s="493" t="s">
        <v>441</v>
      </c>
      <c r="C159"/>
      <c r="D159"/>
      <c r="E159"/>
      <c r="F159"/>
      <c r="G159" s="494"/>
      <c r="H159" s="494">
        <f t="shared" ref="H159:T159" si="91">(H133-G133)/G133</f>
        <v>0.27504414115126818</v>
      </c>
      <c r="I159" s="494">
        <f t="shared" si="91"/>
        <v>-2.5483751565252316E-2</v>
      </c>
      <c r="J159" s="494">
        <f t="shared" si="91"/>
        <v>4.7906707989704263E-2</v>
      </c>
      <c r="K159" s="494">
        <f t="shared" si="91"/>
        <v>5.3766591989059281E-2</v>
      </c>
      <c r="L159" s="494">
        <f t="shared" si="91"/>
        <v>6.6682360747558678E-2</v>
      </c>
      <c r="M159" s="494">
        <f t="shared" si="91"/>
        <v>1.9832797986531901E-2</v>
      </c>
      <c r="N159" s="494">
        <f t="shared" si="91"/>
        <v>5.0439813646837209E-2</v>
      </c>
      <c r="O159" s="494">
        <f t="shared" si="91"/>
        <v>7.2775500619102512E-2</v>
      </c>
      <c r="P159" s="494">
        <f t="shared" si="91"/>
        <v>6.6674361380232611E-2</v>
      </c>
      <c r="Q159" s="494">
        <f t="shared" si="91"/>
        <v>6.1411642233225254E-2</v>
      </c>
      <c r="R159" s="494">
        <f t="shared" si="91"/>
        <v>1.855407900599633E-2</v>
      </c>
      <c r="S159" s="494">
        <f t="shared" si="91"/>
        <v>5.7876140555231992E-2</v>
      </c>
      <c r="T159" s="719">
        <f t="shared" si="91"/>
        <v>3.8420067011839629E-2</v>
      </c>
    </row>
    <row r="160" spans="1:20" ht="13.2">
      <c r="A160" s="388"/>
      <c r="B160" s="493"/>
      <c r="C160"/>
      <c r="D160"/>
      <c r="E160"/>
      <c r="F160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719"/>
    </row>
    <row r="161" spans="1:24" ht="13.2">
      <c r="A161" s="388">
        <v>6</v>
      </c>
      <c r="B161" s="493" t="s">
        <v>377</v>
      </c>
      <c r="C161"/>
      <c r="D161"/>
      <c r="E161"/>
      <c r="F161"/>
      <c r="G161" s="494"/>
      <c r="H161" s="494">
        <f t="shared" ref="H161:T161" si="92">(H140-G140)/G140</f>
        <v>-0.13691026827012026</v>
      </c>
      <c r="I161" s="494">
        <f t="shared" si="92"/>
        <v>0.35905680600214362</v>
      </c>
      <c r="J161" s="494">
        <f t="shared" si="92"/>
        <v>9.5820189274447951E-2</v>
      </c>
      <c r="K161" s="494">
        <f t="shared" si="92"/>
        <v>0.23889391867578294</v>
      </c>
      <c r="L161" s="494">
        <f t="shared" si="92"/>
        <v>-0.14141803467102709</v>
      </c>
      <c r="M161" s="494">
        <f t="shared" si="92"/>
        <v>3.9580514208389712E-2</v>
      </c>
      <c r="N161" s="494">
        <f t="shared" si="92"/>
        <v>-6.4432150992515452E-2</v>
      </c>
      <c r="O161" s="494">
        <f t="shared" si="92"/>
        <v>-2.1349495652174127E-2</v>
      </c>
      <c r="P161" s="494">
        <f t="shared" si="92"/>
        <v>-1.7465043789455863E-4</v>
      </c>
      <c r="Q161" s="494">
        <f t="shared" si="92"/>
        <v>-2.9248571910390862E-4</v>
      </c>
      <c r="R161" s="494">
        <f t="shared" si="92"/>
        <v>0.17863440180407078</v>
      </c>
      <c r="S161" s="494">
        <f t="shared" si="92"/>
        <v>4.5047899939439209E-2</v>
      </c>
      <c r="T161" s="719">
        <f t="shared" si="92"/>
        <v>4.0973152424943456E-3</v>
      </c>
    </row>
    <row r="162" spans="1:24" ht="13.2">
      <c r="A162" s="388"/>
      <c r="B162"/>
      <c r="C162"/>
      <c r="D162"/>
      <c r="E162"/>
      <c r="F162"/>
      <c r="G162"/>
      <c r="H162"/>
      <c r="I162"/>
      <c r="J162"/>
      <c r="K162"/>
      <c r="L162" s="486"/>
      <c r="M162"/>
      <c r="N162" s="486"/>
      <c r="O162"/>
      <c r="P162" s="486"/>
      <c r="Q162" s="383"/>
      <c r="R162" s="383"/>
      <c r="S162" s="40"/>
      <c r="T162" s="40"/>
    </row>
    <row r="163" spans="1:24" ht="13.2">
      <c r="A163" s="388"/>
      <c r="B163" s="385" t="s">
        <v>713</v>
      </c>
      <c r="C163" s="385"/>
      <c r="D163" s="386"/>
      <c r="E163" s="387"/>
      <c r="F163" s="387"/>
      <c r="G163" s="526"/>
      <c r="H163" s="526" t="s">
        <v>612</v>
      </c>
      <c r="I163" s="526" t="s">
        <v>623</v>
      </c>
      <c r="J163" s="526" t="s">
        <v>613</v>
      </c>
      <c r="K163" s="526" t="s">
        <v>614</v>
      </c>
      <c r="L163" s="526" t="s">
        <v>615</v>
      </c>
      <c r="M163" s="526" t="s">
        <v>616</v>
      </c>
      <c r="N163" s="526" t="s">
        <v>617</v>
      </c>
      <c r="O163" s="526" t="s">
        <v>618</v>
      </c>
      <c r="P163" s="526" t="s">
        <v>619</v>
      </c>
      <c r="Q163" s="526" t="s">
        <v>620</v>
      </c>
      <c r="R163" s="526" t="s">
        <v>621</v>
      </c>
      <c r="S163" s="526" t="s">
        <v>622</v>
      </c>
      <c r="T163" s="717" t="s">
        <v>611</v>
      </c>
      <c r="V163" s="48"/>
      <c r="W163" s="41"/>
      <c r="X163" s="41"/>
    </row>
    <row r="164" spans="1:24" ht="13.8" thickBot="1">
      <c r="A164" s="388"/>
      <c r="B164"/>
      <c r="C164"/>
      <c r="D164"/>
      <c r="E164"/>
      <c r="F164"/>
      <c r="G164" s="495"/>
      <c r="H164" s="495"/>
      <c r="I164" s="495"/>
      <c r="J164" s="495"/>
      <c r="K164" s="495"/>
      <c r="L164" s="495"/>
      <c r="M164" s="495"/>
      <c r="N164" s="664"/>
      <c r="O164" s="495"/>
      <c r="P164" s="383"/>
      <c r="Q164" s="383"/>
      <c r="R164" s="383"/>
      <c r="S164" s="54"/>
      <c r="T164" s="54"/>
      <c r="V164" s="653"/>
      <c r="W164" s="653"/>
      <c r="X164" s="41"/>
    </row>
    <row r="165" spans="1:24" ht="13.2">
      <c r="A165" s="388">
        <v>7</v>
      </c>
      <c r="B165" s="671" t="s">
        <v>425</v>
      </c>
      <c r="C165"/>
      <c r="D165"/>
      <c r="E165"/>
      <c r="F165"/>
      <c r="G165" s="496"/>
      <c r="H165" s="496">
        <f>RATE(13,,-G104,$T104)</f>
        <v>5.4079532032045394E-2</v>
      </c>
      <c r="I165" s="496">
        <f>RATE(12,,-H104,$T104)</f>
        <v>4.6632775894920944E-2</v>
      </c>
      <c r="J165" s="496">
        <f>RATE(11,,-I104,$T104)</f>
        <v>5.4404091114978043E-2</v>
      </c>
      <c r="K165" s="496">
        <f>RATE(10,,-J104,$T104)</f>
        <v>4.7830559573585583E-2</v>
      </c>
      <c r="L165" s="496">
        <f>RATE(9,,-K104,$T104)</f>
        <v>5.2157192986189232E-2</v>
      </c>
      <c r="M165" s="496">
        <f>RATE(8,,-L104,$T104)</f>
        <v>4.965115435583739E-2</v>
      </c>
      <c r="N165" s="830">
        <f>RATE(7,,-M104,$T104)</f>
        <v>5.131266909343251E-2</v>
      </c>
      <c r="O165" s="656">
        <f>RATE(6,,-N104,$T104)</f>
        <v>4.7382729073762501E-2</v>
      </c>
      <c r="P165" s="656">
        <f>RATE(5,,-O104,$T104)</f>
        <v>3.8639715498140159E-2</v>
      </c>
      <c r="Q165" s="656">
        <f>RATE(4,,-P104,$T104)</f>
        <v>3.5942240391659691E-2</v>
      </c>
      <c r="R165" s="656">
        <f>RATE(3,,-Q104,$T104)</f>
        <v>1.9787170271239638E-2</v>
      </c>
      <c r="S165" s="656">
        <f>RATE(2,,-R104,$T104)</f>
        <v>-1.385392524610095E-2</v>
      </c>
      <c r="T165" s="656">
        <f>RATE(1,,-S104,$T104)</f>
        <v>1.8527741031826372E-2</v>
      </c>
      <c r="U165" s="45"/>
    </row>
    <row r="166" spans="1:24" ht="9" customHeight="1">
      <c r="A166" s="388"/>
      <c r="B166" s="671"/>
      <c r="C166"/>
      <c r="D166"/>
      <c r="E166"/>
      <c r="F166"/>
      <c r="G166" s="496"/>
      <c r="H166" s="496"/>
      <c r="I166" s="496"/>
      <c r="J166" s="496"/>
      <c r="K166" s="496"/>
      <c r="L166" s="496"/>
      <c r="M166" s="496"/>
      <c r="N166" s="554"/>
      <c r="O166" s="496"/>
      <c r="P166" s="496"/>
      <c r="Q166" s="496"/>
      <c r="R166" s="496"/>
      <c r="S166" s="496"/>
      <c r="T166" s="656"/>
      <c r="U166" s="45"/>
    </row>
    <row r="167" spans="1:24" ht="13.2">
      <c r="A167" s="382" t="s">
        <v>480</v>
      </c>
      <c r="B167" s="671"/>
      <c r="C167"/>
      <c r="D167"/>
      <c r="E167"/>
      <c r="F167"/>
      <c r="G167" s="496"/>
      <c r="H167" s="496"/>
      <c r="I167" s="496"/>
      <c r="J167" s="496"/>
      <c r="K167" s="496"/>
      <c r="L167" s="496"/>
      <c r="M167" s="496"/>
      <c r="N167" s="803"/>
      <c r="O167" s="496"/>
      <c r="P167" s="496"/>
      <c r="Q167" s="496"/>
      <c r="R167" s="496"/>
      <c r="S167" s="496"/>
      <c r="T167" s="656"/>
      <c r="U167" s="45"/>
    </row>
    <row r="168" spans="1:24" ht="8.25" customHeight="1">
      <c r="A168" s="382"/>
      <c r="B168" s="671"/>
      <c r="C168"/>
      <c r="D168"/>
      <c r="E168"/>
      <c r="F168"/>
      <c r="G168" s="496"/>
      <c r="H168" s="496"/>
      <c r="I168" s="496"/>
      <c r="J168" s="496"/>
      <c r="K168" s="496"/>
      <c r="L168" s="496"/>
      <c r="M168" s="496"/>
      <c r="N168" s="554"/>
      <c r="O168" s="496"/>
      <c r="P168" s="496"/>
      <c r="Q168" s="496"/>
      <c r="R168" s="496"/>
      <c r="S168" s="496"/>
      <c r="T168" s="656"/>
      <c r="U168" s="45"/>
    </row>
    <row r="169" spans="1:24" ht="13.2">
      <c r="A169" s="382">
        <v>8</v>
      </c>
      <c r="B169" s="671" t="s">
        <v>435</v>
      </c>
      <c r="C169"/>
      <c r="D169"/>
      <c r="E169"/>
      <c r="F169"/>
      <c r="G169" s="496"/>
      <c r="H169" s="496">
        <f>RATE(13,,-G111,$T111)</f>
        <v>6.394726835508166E-2</v>
      </c>
      <c r="I169" s="496">
        <f t="shared" ref="I169" si="93">RATE(12,,-H111,$T111)</f>
        <v>4.9275576140767163E-2</v>
      </c>
      <c r="J169" s="496">
        <f>RATE(11,,-I111,$T111)</f>
        <v>5.1925982638870098E-2</v>
      </c>
      <c r="K169" s="496">
        <f>RATE(10,,-J111,$T111)</f>
        <v>5.3017457362145651E-2</v>
      </c>
      <c r="L169" s="496">
        <f>RATE(9,,-K111,$T111)</f>
        <v>5.5723629797216304E-2</v>
      </c>
      <c r="M169" s="496">
        <f>RATE(8,,-L111,$T111)</f>
        <v>5.5590082107730233E-2</v>
      </c>
      <c r="N169" s="554">
        <f>RATE(7,,-M111,$T111)</f>
        <v>5.971037160911416E-2</v>
      </c>
      <c r="O169" s="496">
        <f>RATE(6,,-N111,$T111)</f>
        <v>5.8317855435061468E-2</v>
      </c>
      <c r="P169" s="496">
        <f>RATE(5,,-O111,$T111)</f>
        <v>5.8681281811738033E-2</v>
      </c>
      <c r="Q169" s="496">
        <f>RATE(4,,-P111,$T111)</f>
        <v>5.3786699172580985E-2</v>
      </c>
      <c r="R169" s="496">
        <f>RATE(3,,-Q111,$T111)</f>
        <v>5.2371154560321452E-2</v>
      </c>
      <c r="S169" s="496">
        <f>RATE(2,,-R111,$T111)</f>
        <v>4.5693733485477332E-2</v>
      </c>
      <c r="T169" s="656">
        <f>RATE(1,,-S111,$T111)</f>
        <v>6.8780261325197378E-2</v>
      </c>
      <c r="U169" s="45"/>
    </row>
    <row r="170" spans="1:24" ht="9.75" customHeight="1">
      <c r="A170" s="382"/>
      <c r="B170" s="671"/>
      <c r="C170"/>
      <c r="D170" s="12"/>
      <c r="E170"/>
      <c r="F170"/>
      <c r="G170" s="391"/>
      <c r="H170" s="391"/>
      <c r="I170" s="391"/>
      <c r="J170" s="391"/>
      <c r="K170" s="391"/>
      <c r="L170" s="391"/>
      <c r="M170" s="391"/>
      <c r="N170" s="554"/>
      <c r="O170" s="391"/>
      <c r="P170" s="391"/>
      <c r="Q170" s="391"/>
      <c r="R170" s="391"/>
      <c r="S170" s="391"/>
      <c r="T170" s="721"/>
    </row>
    <row r="171" spans="1:24" ht="13.2">
      <c r="A171" s="382">
        <v>9</v>
      </c>
      <c r="B171" s="392"/>
      <c r="C171"/>
      <c r="D171"/>
      <c r="E171"/>
      <c r="F171"/>
      <c r="G171" s="496"/>
      <c r="H171" s="496">
        <f>RATE(13,,-G127,$T127)</f>
        <v>4.9646439895592559E-2</v>
      </c>
      <c r="I171" s="496">
        <f>RATE(12,,-H127,$T127)</f>
        <v>3.916228663606372E-2</v>
      </c>
      <c r="J171" s="496">
        <f>RATE(11,,-I127,$T127)</f>
        <v>4.358811472317773E-2</v>
      </c>
      <c r="K171" s="496">
        <f>RATE(10,,-J127,$T127)</f>
        <v>4.5176613452509444E-2</v>
      </c>
      <c r="L171" s="496">
        <f>RATE(9,,-K127,$T127)</f>
        <v>4.8868780891212514E-2</v>
      </c>
      <c r="M171" s="496">
        <f>RATE(8,,-L127,$T127)</f>
        <v>5.2917708034977591E-2</v>
      </c>
      <c r="N171" s="554">
        <f>RATE(7,,-M127,$T127)</f>
        <v>6.6799803022223256E-2</v>
      </c>
      <c r="O171" s="496">
        <f>RATE(6,,-N127,$T127)</f>
        <v>7.2631502717645791E-2</v>
      </c>
      <c r="P171" s="496">
        <f>RATE(5,,-O127,$T127)</f>
        <v>7.606826762107971E-2</v>
      </c>
      <c r="Q171" s="496">
        <f>RATE(4,,-P127,$T127)</f>
        <v>6.8952446583131599E-2</v>
      </c>
      <c r="R171" s="496">
        <f>RATE(3,,-Q127,$T127)</f>
        <v>5.5975499354969351E-2</v>
      </c>
      <c r="S171" s="496">
        <f>RATE(2,,-R127,$T127)</f>
        <v>6.749065992775849E-2</v>
      </c>
      <c r="T171" s="656">
        <f>RATE(1,,-S127,$T127)</f>
        <v>6.0827048976547587E-2</v>
      </c>
      <c r="U171" s="45"/>
    </row>
    <row r="172" spans="1:24" ht="9" customHeight="1">
      <c r="A172" s="382"/>
      <c r="B172" s="623"/>
      <c r="C172"/>
      <c r="D172" s="12"/>
      <c r="E172"/>
      <c r="F172"/>
      <c r="G172" s="391"/>
      <c r="H172" s="391"/>
      <c r="I172" s="391"/>
      <c r="J172" s="391"/>
      <c r="K172" s="391"/>
      <c r="L172" s="391"/>
      <c r="M172" s="391"/>
      <c r="N172" s="554"/>
      <c r="O172" s="391"/>
      <c r="P172" s="391"/>
      <c r="Q172" s="391"/>
      <c r="R172" s="391"/>
      <c r="S172" s="391"/>
      <c r="T172" s="721"/>
    </row>
    <row r="173" spans="1:24" ht="13.2">
      <c r="A173" s="382">
        <v>10</v>
      </c>
      <c r="B173" s="493" t="s">
        <v>293</v>
      </c>
      <c r="C173"/>
      <c r="D173"/>
      <c r="E173" s="383"/>
      <c r="F173" s="383"/>
      <c r="G173" s="497"/>
      <c r="H173" s="497">
        <f>RATE(13,,-G130,$T130)</f>
        <v>4.7751654874845346E-2</v>
      </c>
      <c r="I173" s="497">
        <f>RATE(12,,-H130,$T130)</f>
        <v>4.2209353212042514E-2</v>
      </c>
      <c r="J173" s="497">
        <f>RATE(11,,-I130,$T130)</f>
        <v>4.8598924277941435E-2</v>
      </c>
      <c r="K173" s="497">
        <f>RATE(10,,-J130,$T130)</f>
        <v>4.830330876750677E-2</v>
      </c>
      <c r="L173" s="497">
        <f>RATE(9,,-K130,$T130)</f>
        <v>4.7611606013095532E-2</v>
      </c>
      <c r="M173" s="497">
        <f>RATE(8,,-L130,$T130)</f>
        <v>4.4741667143021031E-2</v>
      </c>
      <c r="N173" s="554">
        <f>RATE(7,,-M130,$T130)</f>
        <v>4.866695261094222E-2</v>
      </c>
      <c r="O173" s="497">
        <f>RATE(6,,-N130,$T130)</f>
        <v>4.7897429224418503E-2</v>
      </c>
      <c r="P173" s="497">
        <f>RATE(5,,-O130,$T130)</f>
        <v>4.2305374825289573E-2</v>
      </c>
      <c r="Q173" s="497">
        <f>RATE(4,,-P130,$T130)</f>
        <v>4.0526371180795211E-2</v>
      </c>
      <c r="R173" s="497">
        <f>RATE(3,,-Q130,$T130)</f>
        <v>3.7618464737937111E-2</v>
      </c>
      <c r="S173" s="497">
        <f>RATE(2,,-R130,$T130)</f>
        <v>3.599763085581429E-2</v>
      </c>
      <c r="T173" s="722">
        <f>RATE(1,,-S130,$T130)</f>
        <v>1.6312834202224444E-2</v>
      </c>
    </row>
    <row r="174" spans="1:24" ht="8.25" customHeight="1">
      <c r="A174" s="382"/>
      <c r="B174" s="493"/>
      <c r="C174" s="617"/>
      <c r="D174" s="617"/>
      <c r="E174" s="383"/>
      <c r="F174" s="383"/>
      <c r="G174" s="497"/>
      <c r="H174" s="497"/>
      <c r="I174" s="497"/>
      <c r="J174" s="497"/>
      <c r="K174" s="497"/>
      <c r="L174" s="497"/>
      <c r="M174" s="497"/>
      <c r="N174" s="554"/>
      <c r="O174" s="497"/>
      <c r="P174" s="497"/>
      <c r="Q174" s="497"/>
      <c r="R174" s="497"/>
      <c r="S174" s="497"/>
      <c r="T174" s="722"/>
    </row>
    <row r="175" spans="1:24" ht="13.2">
      <c r="A175" s="382">
        <v>11</v>
      </c>
      <c r="B175" s="493" t="s">
        <v>376</v>
      </c>
      <c r="C175"/>
      <c r="D175"/>
      <c r="E175"/>
      <c r="F175"/>
      <c r="G175" s="497"/>
      <c r="H175" s="497">
        <f>RATE(13,,-G133,$T133)</f>
        <v>5.9916811852193413E-2</v>
      </c>
      <c r="I175" s="497">
        <f>RATE(12,,-H133,$T133)</f>
        <v>4.3719972514857285E-2</v>
      </c>
      <c r="J175" s="497">
        <f>RATE(11,,-I133,$T133)</f>
        <v>5.0249835767023479E-2</v>
      </c>
      <c r="K175" s="497">
        <f>RATE(10,,-J133,$T133)</f>
        <v>5.0484436510544822E-2</v>
      </c>
      <c r="L175" s="497">
        <f>RATE(9,,-K133,$T133)</f>
        <v>5.01203841945803E-2</v>
      </c>
      <c r="M175" s="497">
        <f>RATE(8,,-L133,$T133)</f>
        <v>4.8068300579560262E-2</v>
      </c>
      <c r="N175" s="554">
        <f>RATE(7,,-M133,$T133)</f>
        <v>5.2165260860669999E-2</v>
      </c>
      <c r="O175" s="497">
        <f>RATE(6,,-N133,$T133)</f>
        <v>5.2453110818970111E-2</v>
      </c>
      <c r="P175" s="497">
        <f>RATE(5,,-O133,$T133)</f>
        <v>4.8435066116128689E-2</v>
      </c>
      <c r="Q175" s="497">
        <f>RATE(4,,-P133,$T133)</f>
        <v>4.3924183070881924E-2</v>
      </c>
      <c r="R175" s="497">
        <f>RATE(3,,-Q133,$T133)</f>
        <v>3.8159292158925127E-2</v>
      </c>
      <c r="S175" s="497">
        <f>RATE(2,,-R133,$T133)</f>
        <v>4.8102959048198828E-2</v>
      </c>
      <c r="T175" s="722">
        <f>RATE(1,,-S133,$T133)</f>
        <v>3.8420067011839663E-2</v>
      </c>
      <c r="U175" s="45"/>
    </row>
    <row r="176" spans="1:24" ht="13.2">
      <c r="A176" s="382"/>
      <c r="B176" s="392"/>
      <c r="C176" s="392"/>
      <c r="D176" s="12"/>
      <c r="E176" s="383"/>
      <c r="F176" s="383"/>
      <c r="G176" s="391"/>
      <c r="H176" s="391"/>
      <c r="I176" s="391"/>
      <c r="J176" s="391"/>
      <c r="K176" s="391"/>
      <c r="L176" s="391"/>
      <c r="M176" s="391"/>
      <c r="N176" s="554"/>
      <c r="O176" s="391"/>
      <c r="P176" s="391"/>
      <c r="Q176" s="391"/>
      <c r="R176" s="391"/>
      <c r="S176" s="391"/>
      <c r="T176" s="721"/>
    </row>
    <row r="177" spans="1:25" ht="13.8" thickBot="1">
      <c r="A177" s="382">
        <v>12</v>
      </c>
      <c r="B177" s="493"/>
      <c r="C177"/>
      <c r="D177"/>
      <c r="E177" s="383"/>
      <c r="F177" s="383"/>
      <c r="G177" s="497"/>
      <c r="H177" s="497">
        <f>RATE(13,,-G140,$T140)</f>
        <v>3.7252431363684092E-2</v>
      </c>
      <c r="I177" s="497">
        <f>RATE(12,,-H140,$T140)</f>
        <v>5.326302262640506E-2</v>
      </c>
      <c r="J177" s="497">
        <f>RATE(11,,-I140,$T140)</f>
        <v>2.913685420849425E-2</v>
      </c>
      <c r="K177" s="497">
        <f>RATE(10,,-J140,$T140)</f>
        <v>2.2695898547999329E-2</v>
      </c>
      <c r="L177" s="497">
        <f>RATE(9,,-K140,$T140)</f>
        <v>1.1342876587779784E-3</v>
      </c>
      <c r="M177" s="497">
        <f>RATE(8,,-L140,$T140)</f>
        <v>2.0542645746224081E-2</v>
      </c>
      <c r="N177" s="678">
        <f>RATE(7,,-M140,$T140)</f>
        <v>1.7851560938176823E-2</v>
      </c>
      <c r="O177" s="497">
        <f>RATE(6,,-N140,$T140)</f>
        <v>3.2252571312358196E-2</v>
      </c>
      <c r="P177" s="497">
        <f>RATE(5,,-O140,$T140)</f>
        <v>4.3320265418828434E-2</v>
      </c>
      <c r="Q177" s="497">
        <f>RATE(4,,-P140,$T140)</f>
        <v>5.4486485399241037E-2</v>
      </c>
      <c r="R177" s="497">
        <f>RATE(3,,-Q140,$T140)</f>
        <v>7.3405225735358168E-2</v>
      </c>
      <c r="S177" s="497">
        <f>RATE(2,,-R140,$T140)</f>
        <v>2.4367995707108125E-2</v>
      </c>
      <c r="T177" s="722">
        <f>RATE(1,,-S140,$T140)</f>
        <v>4.0973152424944653E-3</v>
      </c>
      <c r="U177" s="45"/>
    </row>
    <row r="178" spans="1:25" ht="12.6" thickBot="1">
      <c r="A178" s="388"/>
      <c r="B178" s="392"/>
      <c r="C178" s="392"/>
      <c r="D178" s="392"/>
      <c r="E178" s="393"/>
      <c r="F178" s="393"/>
      <c r="G178" s="383"/>
      <c r="H178" s="383"/>
      <c r="I178" s="383"/>
      <c r="J178" s="383"/>
      <c r="K178" s="383"/>
      <c r="L178" s="383"/>
      <c r="M178" s="383"/>
      <c r="N178" s="486"/>
      <c r="O178" s="383"/>
      <c r="P178" s="383"/>
      <c r="Q178" s="383"/>
      <c r="R178" s="392"/>
      <c r="S178" s="40"/>
      <c r="T178" s="40"/>
      <c r="V178" s="654"/>
      <c r="W178" s="655"/>
      <c r="X178" s="43"/>
      <c r="Y178" s="43"/>
    </row>
    <row r="179" spans="1:25" ht="13.2">
      <c r="A179" s="388"/>
      <c r="B179" s="385" t="s">
        <v>711</v>
      </c>
      <c r="C179" s="385"/>
      <c r="D179" s="386"/>
      <c r="E179" s="387"/>
      <c r="F179" s="387"/>
      <c r="G179" s="526"/>
      <c r="H179" s="526" t="s">
        <v>612</v>
      </c>
      <c r="I179" s="526" t="s">
        <v>623</v>
      </c>
      <c r="J179" s="526" t="s">
        <v>613</v>
      </c>
      <c r="K179" s="526" t="s">
        <v>614</v>
      </c>
      <c r="L179" s="526" t="s">
        <v>615</v>
      </c>
      <c r="M179" s="526" t="s">
        <v>616</v>
      </c>
      <c r="N179" s="792" t="s">
        <v>617</v>
      </c>
      <c r="O179" s="526" t="s">
        <v>618</v>
      </c>
      <c r="P179" s="526" t="s">
        <v>619</v>
      </c>
      <c r="Q179" s="526" t="s">
        <v>620</v>
      </c>
      <c r="R179" s="526" t="s">
        <v>621</v>
      </c>
      <c r="S179" s="526" t="s">
        <v>622</v>
      </c>
      <c r="T179" s="717" t="s">
        <v>611</v>
      </c>
      <c r="V179" s="41"/>
      <c r="W179" s="41"/>
      <c r="X179" s="41"/>
      <c r="Y179" s="41"/>
    </row>
    <row r="180" spans="1:25" ht="6.75" customHeight="1">
      <c r="A180" s="388"/>
      <c r="B180" s="392"/>
      <c r="C180" s="392"/>
      <c r="D180" s="392"/>
      <c r="E180" s="393"/>
      <c r="F180" s="393"/>
      <c r="G180" s="498"/>
      <c r="H180" s="498"/>
      <c r="I180" s="498"/>
      <c r="J180" s="498"/>
      <c r="K180" s="498"/>
      <c r="L180" s="498"/>
      <c r="M180" s="498"/>
      <c r="N180" s="793"/>
      <c r="O180" s="498"/>
      <c r="P180" s="498"/>
      <c r="Q180" s="498"/>
      <c r="R180" s="392"/>
      <c r="S180" s="54"/>
      <c r="T180" s="54"/>
      <c r="V180" s="41"/>
      <c r="W180" s="656"/>
      <c r="X180" s="41"/>
      <c r="Y180" s="41"/>
    </row>
    <row r="181" spans="1:25">
      <c r="A181" s="388">
        <v>13</v>
      </c>
      <c r="B181" s="671" t="s">
        <v>425</v>
      </c>
      <c r="C181" s="392"/>
      <c r="D181" s="392"/>
      <c r="G181" s="393" t="s">
        <v>624</v>
      </c>
      <c r="H181" s="499">
        <f>2*H165</f>
        <v>0.10815906406409079</v>
      </c>
      <c r="I181" s="499">
        <f t="shared" ref="I181:T181" si="94">2*I165</f>
        <v>9.3265551789841888E-2</v>
      </c>
      <c r="J181" s="499">
        <f t="shared" si="94"/>
        <v>0.10880818222995609</v>
      </c>
      <c r="K181" s="499">
        <f t="shared" si="94"/>
        <v>9.5661119147171167E-2</v>
      </c>
      <c r="L181" s="499">
        <f t="shared" si="94"/>
        <v>0.10431438597237846</v>
      </c>
      <c r="M181" s="499">
        <f t="shared" si="94"/>
        <v>9.930230871167478E-2</v>
      </c>
      <c r="N181" s="831">
        <f t="shared" si="94"/>
        <v>0.10262533818686502</v>
      </c>
      <c r="O181" s="499">
        <f t="shared" si="94"/>
        <v>9.4765458147525003E-2</v>
      </c>
      <c r="P181" s="499">
        <f t="shared" si="94"/>
        <v>7.7279430996280318E-2</v>
      </c>
      <c r="Q181" s="499">
        <f t="shared" si="94"/>
        <v>7.1884480783319382E-2</v>
      </c>
      <c r="R181" s="499">
        <f t="shared" si="94"/>
        <v>3.9574340542479276E-2</v>
      </c>
      <c r="S181" s="499">
        <f t="shared" si="94"/>
        <v>-2.77078504922019E-2</v>
      </c>
      <c r="T181" s="499">
        <f t="shared" si="94"/>
        <v>3.7055482063652743E-2</v>
      </c>
      <c r="U181" s="45"/>
      <c r="V181" s="41"/>
      <c r="W181" s="41"/>
      <c r="X181" s="41"/>
      <c r="Y181" s="41"/>
    </row>
    <row r="182" spans="1:25">
      <c r="A182" s="388"/>
      <c r="B182" s="671"/>
      <c r="C182" s="392"/>
      <c r="D182" s="392"/>
      <c r="G182" s="393"/>
      <c r="H182" s="499"/>
      <c r="I182" s="499"/>
      <c r="J182" s="499"/>
      <c r="K182" s="499"/>
      <c r="L182" s="499"/>
      <c r="M182" s="499"/>
      <c r="N182" s="794"/>
      <c r="O182" s="499"/>
      <c r="P182" s="499"/>
      <c r="Q182" s="499"/>
      <c r="R182" s="499"/>
      <c r="S182" s="499"/>
      <c r="T182" s="499"/>
      <c r="U182" s="642"/>
      <c r="V182" s="41"/>
      <c r="W182" s="41"/>
      <c r="X182" s="41"/>
      <c r="Y182" s="41"/>
    </row>
    <row r="183" spans="1:25">
      <c r="A183" s="388" t="s">
        <v>481</v>
      </c>
      <c r="B183" s="671" t="s">
        <v>712</v>
      </c>
      <c r="C183" s="392"/>
      <c r="D183" s="392"/>
      <c r="G183" s="393" t="s">
        <v>624</v>
      </c>
      <c r="H183" s="499"/>
      <c r="I183" s="499"/>
      <c r="J183" s="499"/>
      <c r="K183" s="499"/>
      <c r="L183" s="499"/>
      <c r="M183" s="499"/>
      <c r="N183" s="794">
        <f>2*N167</f>
        <v>0</v>
      </c>
      <c r="O183" s="499"/>
      <c r="P183" s="499"/>
      <c r="Q183" s="499"/>
      <c r="R183" s="499"/>
      <c r="S183" s="499"/>
      <c r="T183" s="499"/>
      <c r="U183" s="642"/>
      <c r="V183" s="41"/>
      <c r="W183" s="41"/>
      <c r="X183" s="41"/>
      <c r="Y183" s="41"/>
    </row>
    <row r="184" spans="1:25">
      <c r="A184" s="388"/>
      <c r="B184" s="389"/>
      <c r="C184" s="392"/>
      <c r="D184" s="392"/>
      <c r="G184" s="393"/>
      <c r="H184" s="499"/>
      <c r="I184" s="499"/>
      <c r="J184" s="499"/>
      <c r="K184" s="499"/>
      <c r="L184" s="499"/>
      <c r="M184" s="499"/>
      <c r="N184" s="554"/>
      <c r="O184" s="499"/>
      <c r="P184" s="499"/>
      <c r="Q184" s="499"/>
      <c r="R184" s="499"/>
      <c r="S184" s="45"/>
      <c r="T184" s="642"/>
      <c r="U184" s="45"/>
    </row>
    <row r="185" spans="1:25">
      <c r="A185" s="388">
        <v>14</v>
      </c>
      <c r="B185" s="671" t="s">
        <v>581</v>
      </c>
      <c r="C185" s="392"/>
      <c r="D185" s="392"/>
      <c r="G185" s="755" t="s">
        <v>624</v>
      </c>
      <c r="H185" s="499">
        <f>2*H169</f>
        <v>0.12789453671016332</v>
      </c>
      <c r="I185" s="499">
        <f t="shared" ref="I185:T185" si="95">2*I169</f>
        <v>9.8551152281534327E-2</v>
      </c>
      <c r="J185" s="499">
        <f t="shared" si="95"/>
        <v>0.1038519652777402</v>
      </c>
      <c r="K185" s="499">
        <f t="shared" si="95"/>
        <v>0.1060349147242913</v>
      </c>
      <c r="L185" s="499">
        <f t="shared" si="95"/>
        <v>0.11144725959443261</v>
      </c>
      <c r="M185" s="499">
        <f t="shared" si="95"/>
        <v>0.11118016421546047</v>
      </c>
      <c r="N185" s="794">
        <f t="shared" si="95"/>
        <v>0.11942074321822832</v>
      </c>
      <c r="O185" s="499">
        <f t="shared" si="95"/>
        <v>0.11663571087012294</v>
      </c>
      <c r="P185" s="499">
        <f t="shared" si="95"/>
        <v>0.11736256362347607</v>
      </c>
      <c r="Q185" s="499">
        <f t="shared" si="95"/>
        <v>0.10757339834516197</v>
      </c>
      <c r="R185" s="499">
        <f t="shared" si="95"/>
        <v>0.1047423091206429</v>
      </c>
      <c r="S185" s="499">
        <f t="shared" si="95"/>
        <v>9.1387466970954664E-2</v>
      </c>
      <c r="T185" s="499">
        <f t="shared" si="95"/>
        <v>0.13756052265039476</v>
      </c>
      <c r="U185" s="45"/>
    </row>
    <row r="186" spans="1:25">
      <c r="A186" s="388"/>
      <c r="B186" s="389"/>
      <c r="C186" s="392"/>
      <c r="D186" s="392"/>
      <c r="G186" s="393"/>
      <c r="H186" s="499"/>
      <c r="I186" s="499"/>
      <c r="J186" s="499"/>
      <c r="K186" s="499"/>
      <c r="L186" s="499"/>
      <c r="M186" s="499"/>
      <c r="N186" s="554"/>
      <c r="O186" s="499"/>
      <c r="P186" s="499"/>
      <c r="Q186" s="499"/>
      <c r="R186" s="499"/>
      <c r="S186" s="499"/>
      <c r="T186" s="723"/>
      <c r="U186" s="642"/>
    </row>
    <row r="187" spans="1:25">
      <c r="A187" s="382">
        <v>15</v>
      </c>
      <c r="B187" s="671" t="s">
        <v>582</v>
      </c>
      <c r="C187" s="392"/>
      <c r="D187" s="392"/>
      <c r="G187" s="755" t="s">
        <v>624</v>
      </c>
      <c r="H187" s="499">
        <f>2*H171</f>
        <v>9.9292879791185118E-2</v>
      </c>
      <c r="I187" s="499">
        <f t="shared" ref="I187:T187" si="96">2*I171</f>
        <v>7.832457327212744E-2</v>
      </c>
      <c r="J187" s="499">
        <f t="shared" si="96"/>
        <v>8.717622944635546E-2</v>
      </c>
      <c r="K187" s="499">
        <f t="shared" si="96"/>
        <v>9.0353226905018888E-2</v>
      </c>
      <c r="L187" s="499">
        <f t="shared" si="96"/>
        <v>9.7737561782425028E-2</v>
      </c>
      <c r="M187" s="499">
        <f t="shared" si="96"/>
        <v>0.10583541606995518</v>
      </c>
      <c r="N187" s="794">
        <f t="shared" si="96"/>
        <v>0.13359960604444651</v>
      </c>
      <c r="O187" s="499">
        <f t="shared" si="96"/>
        <v>0.14526300543529158</v>
      </c>
      <c r="P187" s="499">
        <f t="shared" si="96"/>
        <v>0.15213653524215942</v>
      </c>
      <c r="Q187" s="499">
        <f t="shared" si="96"/>
        <v>0.1379048931662632</v>
      </c>
      <c r="R187" s="499">
        <f t="shared" si="96"/>
        <v>0.1119509987099387</v>
      </c>
      <c r="S187" s="499">
        <f t="shared" si="96"/>
        <v>0.13498131985551698</v>
      </c>
      <c r="T187" s="499">
        <f t="shared" si="96"/>
        <v>0.12165409795309517</v>
      </c>
      <c r="U187" s="45"/>
    </row>
    <row r="188" spans="1:25" ht="13.2">
      <c r="A188" s="388"/>
      <c r="B188"/>
      <c r="C188" s="392"/>
      <c r="D188" s="392"/>
      <c r="G188" s="393"/>
      <c r="H188" s="498"/>
      <c r="I188" s="498"/>
      <c r="J188" s="498"/>
      <c r="K188" s="498"/>
      <c r="L188" s="498"/>
      <c r="M188" s="498"/>
      <c r="N188" s="555"/>
      <c r="O188" s="498"/>
      <c r="P188" s="498"/>
      <c r="Q188" s="498"/>
      <c r="R188" s="498"/>
      <c r="S188" s="498"/>
      <c r="T188" s="724"/>
    </row>
    <row r="189" spans="1:25">
      <c r="A189" s="388">
        <v>16</v>
      </c>
      <c r="B189" s="493" t="s">
        <v>293</v>
      </c>
      <c r="C189" s="392"/>
      <c r="D189" s="392"/>
      <c r="G189" s="755" t="s">
        <v>624</v>
      </c>
      <c r="H189" s="499">
        <f>2*H173</f>
        <v>9.5503309749690693E-2</v>
      </c>
      <c r="I189" s="499">
        <f t="shared" ref="I189:T189" si="97">2*I173</f>
        <v>8.4418706424085027E-2</v>
      </c>
      <c r="J189" s="499">
        <f t="shared" si="97"/>
        <v>9.7197848555882871E-2</v>
      </c>
      <c r="K189" s="499">
        <f t="shared" si="97"/>
        <v>9.6606617535013539E-2</v>
      </c>
      <c r="L189" s="499">
        <f t="shared" si="97"/>
        <v>9.5223212026191065E-2</v>
      </c>
      <c r="M189" s="499">
        <f t="shared" si="97"/>
        <v>8.9483334286042063E-2</v>
      </c>
      <c r="N189" s="794">
        <f t="shared" si="97"/>
        <v>9.733390522188444E-2</v>
      </c>
      <c r="O189" s="499">
        <f t="shared" si="97"/>
        <v>9.5794858448837006E-2</v>
      </c>
      <c r="P189" s="499">
        <f t="shared" si="97"/>
        <v>8.4610749650579145E-2</v>
      </c>
      <c r="Q189" s="499">
        <f t="shared" si="97"/>
        <v>8.1052742361590421E-2</v>
      </c>
      <c r="R189" s="499">
        <f t="shared" si="97"/>
        <v>7.5236929475874223E-2</v>
      </c>
      <c r="S189" s="499">
        <f t="shared" si="97"/>
        <v>7.199526171162858E-2</v>
      </c>
      <c r="T189" s="499">
        <f t="shared" si="97"/>
        <v>3.2625668404448888E-2</v>
      </c>
      <c r="U189" s="45"/>
    </row>
    <row r="190" spans="1:25">
      <c r="A190" s="388"/>
      <c r="B190" s="390"/>
      <c r="C190" s="392"/>
      <c r="D190" s="392"/>
      <c r="G190" s="393"/>
      <c r="H190" s="499"/>
      <c r="I190" s="499"/>
      <c r="J190" s="499"/>
      <c r="K190" s="499"/>
      <c r="L190" s="499"/>
      <c r="M190" s="499"/>
      <c r="N190" s="554"/>
      <c r="O190" s="499"/>
      <c r="P190" s="499"/>
      <c r="Q190" s="499"/>
      <c r="R190" s="499"/>
      <c r="S190" s="499"/>
      <c r="T190" s="723"/>
      <c r="U190" s="642"/>
    </row>
    <row r="191" spans="1:25">
      <c r="A191" s="388">
        <v>17</v>
      </c>
      <c r="B191" s="493" t="s">
        <v>376</v>
      </c>
      <c r="G191" s="755" t="s">
        <v>624</v>
      </c>
      <c r="H191" s="499">
        <f>2*H175</f>
        <v>0.11983362370438683</v>
      </c>
      <c r="I191" s="499">
        <f t="shared" ref="I191:T191" si="98">2*I175</f>
        <v>8.7439945029714569E-2</v>
      </c>
      <c r="J191" s="499">
        <f t="shared" si="98"/>
        <v>0.10049967153404696</v>
      </c>
      <c r="K191" s="499">
        <f t="shared" si="98"/>
        <v>0.10096887302108964</v>
      </c>
      <c r="L191" s="499">
        <f t="shared" si="98"/>
        <v>0.1002407683891606</v>
      </c>
      <c r="M191" s="499">
        <f t="shared" si="98"/>
        <v>9.6136601159120524E-2</v>
      </c>
      <c r="N191" s="794">
        <f t="shared" si="98"/>
        <v>0.10433052172134</v>
      </c>
      <c r="O191" s="499">
        <f t="shared" si="98"/>
        <v>0.10490622163794022</v>
      </c>
      <c r="P191" s="499">
        <f t="shared" si="98"/>
        <v>9.6870132232257378E-2</v>
      </c>
      <c r="Q191" s="499">
        <f t="shared" si="98"/>
        <v>8.7848366141763848E-2</v>
      </c>
      <c r="R191" s="499">
        <f t="shared" si="98"/>
        <v>7.6318584317850255E-2</v>
      </c>
      <c r="S191" s="499">
        <f t="shared" si="98"/>
        <v>9.6205918096397655E-2</v>
      </c>
      <c r="T191" s="499">
        <f t="shared" si="98"/>
        <v>7.6840134023679327E-2</v>
      </c>
      <c r="U191" s="45"/>
    </row>
    <row r="192" spans="1:25" ht="13.2">
      <c r="A192" s="388"/>
      <c r="B192"/>
      <c r="G192" s="41"/>
      <c r="H192" s="40"/>
      <c r="I192" s="40"/>
      <c r="J192" s="40"/>
      <c r="K192" s="40"/>
      <c r="L192" s="40"/>
      <c r="M192" s="40"/>
      <c r="N192" s="555"/>
      <c r="O192" s="40"/>
      <c r="P192" s="40"/>
      <c r="Q192" s="40"/>
      <c r="S192" s="40"/>
      <c r="T192" s="40"/>
    </row>
    <row r="193" spans="1:21" ht="12.6" thickBot="1">
      <c r="A193" s="382">
        <v>18</v>
      </c>
      <c r="B193" s="493" t="s">
        <v>377</v>
      </c>
      <c r="G193" s="755" t="s">
        <v>624</v>
      </c>
      <c r="H193" s="499">
        <f t="shared" ref="H193:T193" si="99">(1+H177)^2-1</f>
        <v>7.5892606369874382E-2</v>
      </c>
      <c r="I193" s="499">
        <f t="shared" si="99"/>
        <v>0.10936299483211109</v>
      </c>
      <c r="J193" s="499">
        <f t="shared" si="99"/>
        <v>5.912266469015548E-2</v>
      </c>
      <c r="K193" s="499">
        <f t="shared" si="99"/>
        <v>4.5906900906899528E-2</v>
      </c>
      <c r="L193" s="499">
        <f t="shared" si="99"/>
        <v>2.2698619260486108E-3</v>
      </c>
      <c r="M193" s="499">
        <f t="shared" si="99"/>
        <v>4.1507291786702982E-2</v>
      </c>
      <c r="N193" s="791">
        <f t="shared" si="99"/>
        <v>3.602180010428313E-2</v>
      </c>
      <c r="O193" s="499">
        <f t="shared" si="99"/>
        <v>6.5545370980975237E-2</v>
      </c>
      <c r="P193" s="499">
        <f t="shared" si="99"/>
        <v>8.8517176233614769E-2</v>
      </c>
      <c r="Q193" s="499">
        <f t="shared" si="99"/>
        <v>0.11194174788964384</v>
      </c>
      <c r="R193" s="499">
        <f t="shared" si="99"/>
        <v>0.15219877863597508</v>
      </c>
      <c r="S193" s="499">
        <f t="shared" si="99"/>
        <v>4.9329790628997783E-2</v>
      </c>
      <c r="T193" s="723">
        <f t="shared" si="99"/>
        <v>8.2114184771855392E-3</v>
      </c>
      <c r="U193" s="45"/>
    </row>
    <row r="194" spans="1:21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21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21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21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21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21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2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21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21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21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21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21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21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21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21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</sheetData>
  <mergeCells count="8">
    <mergeCell ref="E148:R148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Header>&amp;RExhibit No. __(EMA-6)</oddHeader>
    <oddFooter>&amp;RPage &amp;P of &amp;N</oddFooter>
  </headerFooter>
  <rowBreaks count="3" manualBreakCount="3">
    <brk id="53" max="19" man="1"/>
    <brk id="84" max="19" man="1"/>
    <brk id="142" max="19" man="1"/>
  </rowBreaks>
  <ignoredErrors>
    <ignoredError sqref="F75:I75 G60:I60 N60:P60 F25:F26 F45 G61:P61 F16:F18 F36 K75:P75 F3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100" workbookViewId="0">
      <selection activeCell="E7" sqref="E7:H9"/>
    </sheetView>
  </sheetViews>
  <sheetFormatPr defaultRowHeight="13.2"/>
  <cols>
    <col min="1" max="1" width="25.33203125" customWidth="1"/>
    <col min="2" max="7" width="10.44140625" customWidth="1"/>
    <col min="8" max="8" width="10.88671875" customWidth="1"/>
    <col min="9" max="9" width="10.6640625" customWidth="1"/>
    <col min="10" max="10" width="1.44140625" customWidth="1"/>
  </cols>
  <sheetData>
    <row r="1" spans="1:10">
      <c r="A1" s="922" t="s">
        <v>741</v>
      </c>
      <c r="B1" s="922"/>
      <c r="C1" s="922"/>
      <c r="D1" s="922"/>
      <c r="I1" s="799"/>
      <c r="J1" s="617"/>
    </row>
    <row r="2" spans="1:10">
      <c r="A2" s="617"/>
      <c r="B2" s="862">
        <v>2007</v>
      </c>
      <c r="C2" s="862">
        <v>2008</v>
      </c>
      <c r="D2" s="801">
        <v>2009</v>
      </c>
      <c r="E2" s="801">
        <v>2010</v>
      </c>
      <c r="F2" s="801">
        <v>2011</v>
      </c>
      <c r="G2" s="801">
        <v>2012</v>
      </c>
      <c r="H2" s="801">
        <v>2013</v>
      </c>
      <c r="I2" s="801">
        <v>2014</v>
      </c>
    </row>
    <row r="3" spans="1:10">
      <c r="A3" s="617" t="s">
        <v>696</v>
      </c>
      <c r="B3" s="860">
        <f>'Cost Trends'!M78</f>
        <v>870835</v>
      </c>
      <c r="C3" s="860">
        <f>'Cost Trends'!N78</f>
        <v>917247</v>
      </c>
      <c r="D3" s="238">
        <f>'Cost Trends'!O78</f>
        <v>987243</v>
      </c>
      <c r="E3" s="238">
        <f>'Cost Trends'!P78</f>
        <v>1036064</v>
      </c>
      <c r="F3" s="238">
        <f>'Cost Trends'!Q78</f>
        <v>1087141</v>
      </c>
      <c r="G3" s="238">
        <f>'Cost Trends'!R78</f>
        <v>1131570</v>
      </c>
      <c r="H3" s="238">
        <f>'Cost Trends'!S78</f>
        <v>1195010</v>
      </c>
      <c r="I3" s="860">
        <f>'Cost Trends'!T78</f>
        <v>1214504</v>
      </c>
    </row>
    <row r="4" spans="1:10">
      <c r="A4" s="617"/>
      <c r="B4" s="617"/>
      <c r="C4" s="617"/>
      <c r="D4" s="617"/>
      <c r="E4" s="617"/>
      <c r="F4" s="617"/>
      <c r="G4" s="617"/>
      <c r="I4" s="623" t="s">
        <v>733</v>
      </c>
    </row>
    <row r="5" spans="1:10">
      <c r="A5" s="617"/>
      <c r="B5" s="617"/>
      <c r="C5" s="617"/>
      <c r="D5" s="617"/>
      <c r="E5" s="617"/>
      <c r="F5" s="617"/>
      <c r="G5" s="617"/>
    </row>
    <row r="6" spans="1:10">
      <c r="A6" s="617" t="s">
        <v>706</v>
      </c>
      <c r="B6" s="2">
        <v>51080</v>
      </c>
      <c r="C6" s="617"/>
      <c r="D6" s="617"/>
      <c r="E6" s="617"/>
      <c r="F6" s="617"/>
      <c r="G6" s="617"/>
    </row>
    <row r="7" spans="1:10" ht="13.8" thickBot="1">
      <c r="A7" s="617" t="s">
        <v>700</v>
      </c>
      <c r="B7" s="788">
        <f>B6/I3</f>
        <v>4.2058321751101684E-2</v>
      </c>
      <c r="C7" s="617"/>
      <c r="D7" s="617"/>
      <c r="E7" s="617"/>
      <c r="F7" s="787" t="s">
        <v>771</v>
      </c>
      <c r="G7" s="787" t="s">
        <v>757</v>
      </c>
      <c r="H7" s="518" t="s">
        <v>758</v>
      </c>
    </row>
    <row r="8" spans="1:10" ht="13.8" thickBot="1">
      <c r="A8" s="617" t="s">
        <v>707</v>
      </c>
      <c r="B8" s="863">
        <f>B7*2</f>
        <v>8.4116643502203367E-2</v>
      </c>
      <c r="C8" s="617" t="s">
        <v>701</v>
      </c>
      <c r="D8" s="617"/>
      <c r="E8" s="872" t="s">
        <v>756</v>
      </c>
      <c r="F8" s="871">
        <f>'remove dist'!B13</f>
        <v>24598.958348878507</v>
      </c>
      <c r="G8" s="814">
        <f>F8/I3</f>
        <v>2.025432468635633E-2</v>
      </c>
      <c r="H8" s="873">
        <f>2*G8</f>
        <v>4.050864937271266E-2</v>
      </c>
    </row>
    <row r="9" spans="1:10">
      <c r="A9" s="617"/>
      <c r="B9" s="617"/>
      <c r="C9" s="617"/>
      <c r="D9" s="617"/>
      <c r="E9" s="617"/>
      <c r="F9" s="617" t="s">
        <v>772</v>
      </c>
      <c r="G9" s="617"/>
    </row>
    <row r="10" spans="1:10">
      <c r="A10" s="617"/>
      <c r="B10" s="617"/>
      <c r="C10" s="617"/>
      <c r="D10" s="617"/>
      <c r="E10" s="617"/>
      <c r="F10" s="617"/>
      <c r="G10" s="617"/>
    </row>
    <row r="11" spans="1:10">
      <c r="A11" s="617"/>
      <c r="B11" s="617"/>
      <c r="C11" s="617"/>
      <c r="D11" s="617"/>
      <c r="E11" s="617"/>
      <c r="F11" s="617"/>
      <c r="G11" s="617"/>
    </row>
    <row r="12" spans="1:10">
      <c r="A12" s="617"/>
      <c r="B12" s="617"/>
      <c r="C12" s="617"/>
      <c r="D12" s="617"/>
      <c r="E12" s="617"/>
      <c r="F12" s="617"/>
      <c r="G12" s="617"/>
    </row>
    <row r="13" spans="1:10">
      <c r="A13" s="617"/>
      <c r="B13" s="617"/>
      <c r="C13" s="617"/>
      <c r="D13" s="617"/>
      <c r="E13" s="617"/>
      <c r="F13" s="617"/>
      <c r="G13" s="617"/>
    </row>
    <row r="14" spans="1:10">
      <c r="A14" s="617"/>
      <c r="B14" s="617"/>
      <c r="C14" s="617"/>
      <c r="D14" s="617"/>
      <c r="E14" s="617"/>
      <c r="F14" s="617"/>
      <c r="G14" s="617"/>
    </row>
    <row r="15" spans="1:10">
      <c r="A15" s="617"/>
      <c r="B15" s="617"/>
      <c r="C15" s="617"/>
      <c r="D15" s="617"/>
      <c r="E15" s="617"/>
      <c r="F15" s="617"/>
      <c r="G15" s="617"/>
    </row>
    <row r="16" spans="1:10">
      <c r="A16" s="617"/>
      <c r="B16" s="617"/>
      <c r="C16" s="617"/>
      <c r="D16" s="617"/>
      <c r="E16" s="617"/>
      <c r="F16" s="617"/>
      <c r="G16" s="617"/>
    </row>
    <row r="17" spans="1:9">
      <c r="A17" s="617"/>
      <c r="B17" s="617"/>
      <c r="C17" s="617"/>
      <c r="D17" s="617"/>
      <c r="E17" s="617"/>
      <c r="F17" s="617"/>
      <c r="G17" s="617"/>
    </row>
    <row r="18" spans="1:9">
      <c r="A18" s="617"/>
      <c r="B18" s="617"/>
      <c r="C18" s="617"/>
      <c r="D18" s="617"/>
      <c r="E18" s="617"/>
      <c r="F18" s="617"/>
      <c r="G18" s="617"/>
    </row>
    <row r="19" spans="1:9">
      <c r="A19" s="617"/>
      <c r="B19" s="617"/>
      <c r="C19" s="617"/>
      <c r="D19" s="617"/>
      <c r="E19" s="617"/>
      <c r="F19" s="617"/>
      <c r="G19" s="617"/>
    </row>
    <row r="20" spans="1:9">
      <c r="A20" s="617"/>
      <c r="B20" s="617"/>
      <c r="C20" s="617"/>
      <c r="D20" s="617"/>
      <c r="E20" s="617"/>
      <c r="F20" s="617"/>
      <c r="G20" s="617"/>
    </row>
    <row r="21" spans="1:9">
      <c r="A21" s="617"/>
      <c r="B21" s="617"/>
      <c r="C21" s="617"/>
      <c r="D21" s="617"/>
      <c r="E21" s="617"/>
      <c r="F21" s="617"/>
      <c r="G21" s="617"/>
    </row>
    <row r="22" spans="1:9">
      <c r="A22" s="617"/>
      <c r="B22" s="617"/>
      <c r="C22" s="617"/>
      <c r="D22" s="617"/>
      <c r="E22" s="617"/>
      <c r="F22" s="617"/>
      <c r="G22" s="617"/>
    </row>
    <row r="23" spans="1:9">
      <c r="A23" s="617"/>
      <c r="B23" s="617"/>
      <c r="C23" s="617"/>
      <c r="D23" s="617"/>
      <c r="E23" s="617"/>
      <c r="F23" s="617"/>
      <c r="G23" s="617"/>
    </row>
    <row r="24" spans="1:9">
      <c r="A24" s="617"/>
      <c r="B24" s="617"/>
      <c r="C24" s="617"/>
      <c r="D24" s="617"/>
      <c r="E24" s="617"/>
      <c r="F24" s="617"/>
      <c r="G24" s="617"/>
    </row>
    <row r="25" spans="1:9">
      <c r="A25" s="617"/>
      <c r="B25" s="617"/>
      <c r="C25" s="617"/>
      <c r="D25" s="617"/>
      <c r="E25" s="617"/>
      <c r="F25" s="617"/>
      <c r="G25" s="617"/>
    </row>
    <row r="26" spans="1:9">
      <c r="A26" s="617"/>
      <c r="B26" s="617"/>
      <c r="C26" s="617"/>
      <c r="D26" s="617"/>
      <c r="E26" s="617"/>
      <c r="F26" s="617"/>
      <c r="G26" s="617"/>
    </row>
    <row r="27" spans="1:9">
      <c r="A27" s="617"/>
      <c r="B27" s="617"/>
      <c r="C27" s="617"/>
      <c r="D27" s="617"/>
      <c r="E27" s="617"/>
      <c r="F27" s="617"/>
      <c r="G27" s="617"/>
    </row>
    <row r="28" spans="1:9">
      <c r="A28" s="617"/>
      <c r="B28" s="617"/>
      <c r="C28" s="617"/>
      <c r="D28" s="617"/>
      <c r="E28" s="617"/>
      <c r="F28" s="617"/>
      <c r="G28" s="617"/>
    </row>
    <row r="29" spans="1:9">
      <c r="A29" s="617"/>
      <c r="B29" s="617"/>
      <c r="C29" s="617"/>
      <c r="D29" s="617"/>
      <c r="E29" s="617"/>
      <c r="F29" s="617"/>
      <c r="G29" s="617"/>
    </row>
    <row r="30" spans="1:9" ht="13.8" thickBot="1">
      <c r="A30" s="800"/>
      <c r="B30" s="800"/>
      <c r="C30" s="800"/>
      <c r="D30" s="800"/>
      <c r="E30" s="800"/>
      <c r="F30" s="800"/>
      <c r="G30" s="800"/>
      <c r="H30" s="800"/>
      <c r="I30" s="800"/>
    </row>
    <row r="31" spans="1:9" s="617" customFormat="1">
      <c r="A31" s="841" t="s">
        <v>742</v>
      </c>
    </row>
    <row r="32" spans="1:9">
      <c r="B32" s="786">
        <v>2009</v>
      </c>
      <c r="C32" s="786">
        <v>2010</v>
      </c>
      <c r="D32" s="786">
        <v>2011</v>
      </c>
      <c r="E32" s="786">
        <v>2012</v>
      </c>
      <c r="F32" s="786">
        <v>2013</v>
      </c>
      <c r="G32" s="786">
        <v>2014</v>
      </c>
    </row>
    <row r="33" spans="1:8">
      <c r="A33" t="s">
        <v>696</v>
      </c>
      <c r="B33" s="345">
        <f>'Cost Trends'!O130</f>
        <v>987243</v>
      </c>
      <c r="C33" s="345">
        <f>'Cost Trends'!P130</f>
        <v>1036064</v>
      </c>
      <c r="D33" s="345">
        <f>'Cost Trends'!Q130</f>
        <v>1087141</v>
      </c>
      <c r="E33" s="345">
        <f>'Cost Trends'!R130</f>
        <v>1131570</v>
      </c>
      <c r="F33" s="345">
        <f>'Cost Trends'!S130</f>
        <v>1195010</v>
      </c>
      <c r="G33" s="709">
        <f>'Cost Trends'!T130+1741</f>
        <v>1216245</v>
      </c>
      <c r="H33" s="617" t="s">
        <v>732</v>
      </c>
    </row>
    <row r="34" spans="1:8">
      <c r="H34" s="623"/>
    </row>
    <row r="36" spans="1:8">
      <c r="A36" t="s">
        <v>706</v>
      </c>
      <c r="B36" s="2">
        <v>47608</v>
      </c>
    </row>
    <row r="37" spans="1:8" ht="13.8" thickBot="1">
      <c r="A37" t="s">
        <v>700</v>
      </c>
      <c r="B37" s="788">
        <f>B36/G33</f>
        <v>3.9143429161065411E-2</v>
      </c>
    </row>
    <row r="38" spans="1:8" ht="13.8" thickBot="1">
      <c r="A38" t="s">
        <v>707</v>
      </c>
      <c r="B38" s="797">
        <f>B37*2</f>
        <v>7.8286858322130823E-2</v>
      </c>
      <c r="C38" t="s">
        <v>701</v>
      </c>
      <c r="E38" s="798">
        <f>((1+B37)^2)-1</f>
        <v>7.9819066368618463E-2</v>
      </c>
    </row>
  </sheetData>
  <mergeCells count="1">
    <mergeCell ref="A1:D1"/>
  </mergeCells>
  <pageMargins left="0.7" right="0.7" top="0.75" bottom="0.75" header="0.3" footer="0.3"/>
  <pageSetup scale="84" orientation="portrait" r:id="rId1"/>
  <headerFooter scaleWithDoc="0">
    <oddHeader>&amp;RExhibit No. __(EMA-6)</oddHead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sqref="A1:XFD1048576"/>
    </sheetView>
  </sheetViews>
  <sheetFormatPr defaultRowHeight="13.2"/>
  <cols>
    <col min="1" max="1" width="26.77734375" style="617" customWidth="1"/>
    <col min="2" max="2" width="9.5546875" style="617" bestFit="1" customWidth="1"/>
    <col min="3" max="16384" width="8.88671875" style="617"/>
  </cols>
  <sheetData>
    <row r="1" spans="1:9">
      <c r="B1" s="787">
        <v>2007</v>
      </c>
      <c r="C1" s="787">
        <v>2008</v>
      </c>
      <c r="D1" s="787">
        <v>2009</v>
      </c>
      <c r="E1" s="787">
        <v>2010</v>
      </c>
      <c r="F1" s="787">
        <v>2011</v>
      </c>
      <c r="G1" s="787">
        <v>2012</v>
      </c>
      <c r="H1" s="787">
        <v>2013</v>
      </c>
      <c r="I1" s="787">
        <v>2014</v>
      </c>
    </row>
    <row r="2" spans="1:9">
      <c r="A2" s="617" t="s">
        <v>232</v>
      </c>
      <c r="B2" s="617">
        <v>1009868</v>
      </c>
      <c r="C2" s="617">
        <v>1064749</v>
      </c>
      <c r="D2" s="617">
        <v>1150959</v>
      </c>
      <c r="E2" s="617">
        <v>1220889</v>
      </c>
      <c r="F2" s="617">
        <v>1288304</v>
      </c>
      <c r="G2" s="617">
        <v>1339779</v>
      </c>
      <c r="H2" s="617">
        <v>1416364</v>
      </c>
      <c r="I2" s="617">
        <v>1472270</v>
      </c>
    </row>
    <row r="6" spans="1:9">
      <c r="A6" s="617" t="s">
        <v>759</v>
      </c>
      <c r="B6" s="617">
        <v>67009</v>
      </c>
      <c r="C6" s="617" t="s">
        <v>764</v>
      </c>
    </row>
    <row r="7" spans="1:9">
      <c r="A7" s="617" t="s">
        <v>760</v>
      </c>
      <c r="B7" s="617">
        <v>51080</v>
      </c>
      <c r="C7" s="617" t="s">
        <v>765</v>
      </c>
    </row>
    <row r="8" spans="1:9">
      <c r="A8" s="617" t="s">
        <v>766</v>
      </c>
      <c r="B8" s="617">
        <f>B7/B6</f>
        <v>0.76228566311987944</v>
      </c>
      <c r="C8" s="617" t="s">
        <v>767</v>
      </c>
    </row>
    <row r="10" spans="1:9">
      <c r="A10" s="617" t="s">
        <v>761</v>
      </c>
      <c r="B10" s="617">
        <v>34739</v>
      </c>
      <c r="C10" s="617" t="s">
        <v>768</v>
      </c>
    </row>
    <row r="11" spans="1:9">
      <c r="A11" s="617" t="s">
        <v>762</v>
      </c>
      <c r="B11" s="871">
        <f>B10*B8</f>
        <v>26481.041651121493</v>
      </c>
      <c r="C11" s="617" t="s">
        <v>769</v>
      </c>
    </row>
    <row r="13" spans="1:9">
      <c r="A13" s="617" t="s">
        <v>763</v>
      </c>
      <c r="B13" s="871">
        <f>B7-B11</f>
        <v>24598.958348878507</v>
      </c>
      <c r="C13" s="617" t="s">
        <v>770</v>
      </c>
    </row>
    <row r="35" spans="1:9">
      <c r="B35" s="787">
        <v>2007</v>
      </c>
      <c r="C35" s="787">
        <v>2008</v>
      </c>
      <c r="D35" s="787">
        <v>2009</v>
      </c>
      <c r="E35" s="787">
        <v>2010</v>
      </c>
      <c r="F35" s="787">
        <v>2011</v>
      </c>
      <c r="G35" s="787">
        <v>2012</v>
      </c>
      <c r="H35" s="787">
        <v>2013</v>
      </c>
      <c r="I35" s="787">
        <v>2014</v>
      </c>
    </row>
    <row r="36" spans="1:9">
      <c r="A36" s="617" t="s">
        <v>761</v>
      </c>
      <c r="B36" s="345"/>
      <c r="C36" s="345"/>
      <c r="D36" s="345"/>
      <c r="E36" s="345"/>
      <c r="F36" s="345">
        <f>'Cost Trends'!Q65-'Cost Trends'!Q72</f>
        <v>486981</v>
      </c>
      <c r="G36" s="345">
        <f>'Cost Trends'!R65-'Cost Trends'!R72</f>
        <v>522324</v>
      </c>
      <c r="H36" s="345">
        <f>'Cost Trends'!S65-'Cost Trends'!S72</f>
        <v>560439</v>
      </c>
      <c r="I36" s="345">
        <f>'Cost Trends'!T65-'Cost Trends'!T72</f>
        <v>590073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15" workbookViewId="0">
      <selection activeCell="J11" sqref="J11"/>
    </sheetView>
  </sheetViews>
  <sheetFormatPr defaultRowHeight="13.2"/>
  <cols>
    <col min="1" max="1" width="26.33203125" customWidth="1"/>
    <col min="2" max="9" width="10.33203125" bestFit="1" customWidth="1"/>
  </cols>
  <sheetData>
    <row r="1" spans="1:9">
      <c r="A1" s="922" t="s">
        <v>741</v>
      </c>
      <c r="B1" s="922"/>
      <c r="C1" s="922"/>
      <c r="D1" s="922"/>
    </row>
    <row r="2" spans="1:9">
      <c r="A2" s="617"/>
      <c r="B2" s="864">
        <v>2007</v>
      </c>
      <c r="C2" s="864">
        <v>2008</v>
      </c>
      <c r="D2" s="786">
        <v>2009</v>
      </c>
      <c r="E2" s="786">
        <v>2010</v>
      </c>
      <c r="F2" s="786">
        <v>2011</v>
      </c>
      <c r="G2" s="786">
        <v>2012</v>
      </c>
      <c r="H2" s="786">
        <v>2013</v>
      </c>
      <c r="I2" s="786">
        <v>2014</v>
      </c>
    </row>
    <row r="3" spans="1:9">
      <c r="A3" s="617" t="s">
        <v>694</v>
      </c>
      <c r="B3" s="860">
        <f>'Cost Trends'!M111</f>
        <v>42949</v>
      </c>
      <c r="C3" s="860">
        <f>'Cost Trends'!N111</f>
        <v>45874</v>
      </c>
      <c r="D3" s="238">
        <f>'Cost Trends'!O111</f>
        <v>48466</v>
      </c>
      <c r="E3" s="238">
        <f>'Cost Trends'!P111</f>
        <v>52270</v>
      </c>
      <c r="F3" s="238">
        <f>'Cost Trends'!Q111</f>
        <v>55304</v>
      </c>
      <c r="G3" s="238">
        <f>'Cost Trends'!R111</f>
        <v>58946</v>
      </c>
      <c r="H3" s="238">
        <f>'Cost Trends'!S111</f>
        <v>60308</v>
      </c>
      <c r="I3" s="238">
        <f>'Cost Trends'!T111</f>
        <v>64456</v>
      </c>
    </row>
    <row r="4" spans="1:9">
      <c r="A4" s="617"/>
      <c r="B4" s="617"/>
      <c r="C4" s="617"/>
      <c r="D4" s="617"/>
      <c r="E4" s="617"/>
      <c r="F4" s="617"/>
      <c r="G4" s="617"/>
    </row>
    <row r="5" spans="1:9">
      <c r="A5" s="617"/>
      <c r="B5" s="617"/>
      <c r="C5" s="617"/>
      <c r="D5" s="617"/>
      <c r="E5" s="617"/>
      <c r="F5" s="617"/>
      <c r="G5" s="617"/>
    </row>
    <row r="6" spans="1:9">
      <c r="A6" s="617" t="s">
        <v>706</v>
      </c>
      <c r="B6" s="2">
        <v>3061.8</v>
      </c>
      <c r="C6" s="617"/>
      <c r="D6" s="617"/>
      <c r="E6" s="617"/>
      <c r="F6" s="617"/>
      <c r="G6" s="617"/>
    </row>
    <row r="7" spans="1:9" ht="13.8" thickBot="1">
      <c r="A7" s="617" t="s">
        <v>700</v>
      </c>
      <c r="B7" s="788">
        <f>B6/I3</f>
        <v>4.7502172024326675E-2</v>
      </c>
      <c r="C7" s="617"/>
      <c r="D7" s="617"/>
      <c r="E7" s="617"/>
      <c r="F7" s="617"/>
      <c r="G7" s="617"/>
    </row>
    <row r="8" spans="1:9" ht="13.8" thickBot="1">
      <c r="A8" s="617" t="s">
        <v>707</v>
      </c>
      <c r="B8" s="863">
        <f>B7*2</f>
        <v>9.500434404865335E-2</v>
      </c>
      <c r="C8" s="617" t="s">
        <v>701</v>
      </c>
      <c r="D8" s="617"/>
      <c r="E8" s="798"/>
      <c r="F8" s="617"/>
      <c r="G8" s="617"/>
    </row>
    <row r="30" spans="1:8">
      <c r="A30" s="518"/>
      <c r="B30" s="518"/>
      <c r="C30" s="518"/>
      <c r="D30" s="518"/>
      <c r="E30" s="518"/>
      <c r="F30" s="518"/>
      <c r="G30" s="518"/>
      <c r="H30" s="518"/>
    </row>
    <row r="31" spans="1:8" ht="13.8" thickBot="1">
      <c r="A31" s="800"/>
      <c r="B31" s="800"/>
      <c r="C31" s="800"/>
      <c r="D31" s="800"/>
      <c r="E31" s="800"/>
      <c r="F31" s="800"/>
      <c r="G31" s="800"/>
      <c r="H31" s="800"/>
    </row>
    <row r="32" spans="1:8">
      <c r="A32" s="841" t="s">
        <v>736</v>
      </c>
      <c r="B32" s="786">
        <v>2009</v>
      </c>
      <c r="C32" s="786">
        <v>2010</v>
      </c>
      <c r="D32" s="786">
        <v>2011</v>
      </c>
      <c r="E32" s="786">
        <v>2012</v>
      </c>
      <c r="F32" s="786">
        <v>2013</v>
      </c>
      <c r="G32" s="786">
        <v>2014</v>
      </c>
    </row>
    <row r="33" spans="1:7">
      <c r="A33" s="617" t="s">
        <v>694</v>
      </c>
      <c r="B33" s="345">
        <f>'Cost Trends'!O111</f>
        <v>48466</v>
      </c>
      <c r="C33" s="345">
        <f>'Cost Trends'!P111</f>
        <v>52270</v>
      </c>
      <c r="D33" s="345">
        <f>'Cost Trends'!Q111</f>
        <v>55304</v>
      </c>
      <c r="E33" s="345">
        <f>'Cost Trends'!R111</f>
        <v>58946</v>
      </c>
      <c r="F33" s="345">
        <f>'Cost Trends'!S111</f>
        <v>60308</v>
      </c>
      <c r="G33" s="345">
        <f>'Cost Trends'!T111</f>
        <v>64456</v>
      </c>
    </row>
    <row r="36" spans="1:7">
      <c r="A36" s="617" t="s">
        <v>706</v>
      </c>
      <c r="B36" s="2">
        <v>3077.3</v>
      </c>
      <c r="C36" s="617"/>
    </row>
    <row r="37" spans="1:7" ht="13.8" thickBot="1">
      <c r="A37" s="617" t="s">
        <v>700</v>
      </c>
      <c r="B37" s="788">
        <f>B36/G33</f>
        <v>4.7742646146208267E-2</v>
      </c>
      <c r="C37" s="617"/>
    </row>
    <row r="38" spans="1:7" ht="13.8" thickBot="1">
      <c r="A38" s="617" t="s">
        <v>707</v>
      </c>
      <c r="B38" s="797">
        <f>B37*2</f>
        <v>9.5485292292416535E-2</v>
      </c>
      <c r="C38" s="617" t="s">
        <v>701</v>
      </c>
      <c r="E38" s="798">
        <f>((1+B37)^2)-1</f>
        <v>9.7764652553458564E-2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30" workbookViewId="0">
      <selection activeCell="J11" sqref="J11"/>
    </sheetView>
  </sheetViews>
  <sheetFormatPr defaultRowHeight="13.2"/>
  <cols>
    <col min="1" max="1" width="25.5546875" customWidth="1"/>
    <col min="2" max="9" width="10.33203125" bestFit="1" customWidth="1"/>
  </cols>
  <sheetData>
    <row r="1" spans="1:9">
      <c r="A1" s="922" t="s">
        <v>741</v>
      </c>
      <c r="B1" s="922"/>
      <c r="C1" s="922"/>
      <c r="D1" s="922"/>
    </row>
    <row r="2" spans="1:9">
      <c r="A2" s="617"/>
      <c r="B2" s="864">
        <v>2007</v>
      </c>
      <c r="C2" s="864">
        <v>2008</v>
      </c>
      <c r="D2" s="786">
        <v>2009</v>
      </c>
      <c r="E2" s="786">
        <v>2010</v>
      </c>
      <c r="F2" s="786">
        <v>2011</v>
      </c>
      <c r="G2" s="786">
        <v>2012</v>
      </c>
      <c r="H2" s="786">
        <v>2013</v>
      </c>
      <c r="I2" s="786">
        <v>2014</v>
      </c>
    </row>
    <row r="3" spans="1:9">
      <c r="A3" s="617" t="s">
        <v>695</v>
      </c>
      <c r="B3" s="860">
        <f>'Cost Trends'!M127</f>
        <v>24422.193309601087</v>
      </c>
      <c r="C3" s="860">
        <f>'Cost Trends'!N127</f>
        <v>25215.167948905873</v>
      </c>
      <c r="D3" s="238">
        <f>'Cost Trends'!O127</f>
        <v>26617.424405821377</v>
      </c>
      <c r="E3" s="238">
        <f>'Cost Trends'!P127</f>
        <v>29412.477627473563</v>
      </c>
      <c r="F3" s="238">
        <f>'Cost Trends'!Q127</f>
        <v>32613.966947797297</v>
      </c>
      <c r="G3" s="238">
        <f>'Cost Trends'!R127</f>
        <v>33700.549684624653</v>
      </c>
      <c r="H3" s="238">
        <f>'Cost Trends'!S127</f>
        <v>36201</v>
      </c>
      <c r="I3" s="238">
        <f>'Cost Trends'!T127</f>
        <v>38403</v>
      </c>
    </row>
    <row r="4" spans="1:9">
      <c r="A4" s="617"/>
      <c r="B4" s="617"/>
      <c r="C4" s="617"/>
      <c r="D4" s="617"/>
      <c r="E4" s="617"/>
      <c r="F4" s="617"/>
      <c r="G4" s="617"/>
      <c r="H4" s="617"/>
    </row>
    <row r="5" spans="1:9">
      <c r="A5" s="617"/>
      <c r="B5" s="617"/>
      <c r="C5" s="617"/>
      <c r="D5" s="617"/>
      <c r="E5" s="617"/>
      <c r="F5" s="617"/>
      <c r="G5" s="617"/>
      <c r="H5" s="617"/>
    </row>
    <row r="6" spans="1:9">
      <c r="A6" s="617" t="s">
        <v>706</v>
      </c>
      <c r="B6" s="2">
        <v>2110.1</v>
      </c>
      <c r="C6" s="617"/>
      <c r="D6" s="617"/>
      <c r="E6" s="617"/>
      <c r="F6" s="617"/>
      <c r="G6" s="617"/>
      <c r="H6" s="617"/>
    </row>
    <row r="7" spans="1:9" ht="13.8" thickBot="1">
      <c r="A7" s="617" t="s">
        <v>700</v>
      </c>
      <c r="B7" s="788">
        <f>B6/I3</f>
        <v>5.4946228159258391E-2</v>
      </c>
      <c r="C7" s="617"/>
      <c r="D7" s="617"/>
      <c r="E7" s="617"/>
      <c r="F7" s="617"/>
      <c r="G7" s="617"/>
      <c r="H7" s="617"/>
    </row>
    <row r="8" spans="1:9" ht="13.8" thickBot="1">
      <c r="A8" s="617" t="s">
        <v>707</v>
      </c>
      <c r="B8" s="863">
        <f>B7*2</f>
        <v>0.10989245631851678</v>
      </c>
      <c r="C8" s="617" t="s">
        <v>701</v>
      </c>
      <c r="D8" s="617"/>
      <c r="E8" s="798"/>
      <c r="F8" s="617"/>
      <c r="G8" s="617"/>
      <c r="H8" s="617"/>
    </row>
    <row r="9" spans="1:9">
      <c r="A9" s="617"/>
      <c r="B9" s="617"/>
      <c r="C9" s="617"/>
      <c r="D9" s="617"/>
      <c r="E9" s="617"/>
      <c r="F9" s="617"/>
      <c r="G9" s="617"/>
      <c r="H9" s="617"/>
    </row>
    <row r="10" spans="1:9">
      <c r="A10" s="617"/>
      <c r="B10" s="617"/>
      <c r="C10" s="617"/>
      <c r="D10" s="617"/>
      <c r="E10" s="617"/>
      <c r="F10" s="617"/>
      <c r="G10" s="617"/>
      <c r="H10" s="617"/>
    </row>
    <row r="11" spans="1:9">
      <c r="A11" s="617"/>
      <c r="B11" s="617"/>
      <c r="C11" s="617"/>
      <c r="D11" s="617"/>
      <c r="E11" s="617"/>
      <c r="F11" s="617"/>
      <c r="G11" s="617"/>
      <c r="H11" s="617"/>
    </row>
    <row r="12" spans="1:9">
      <c r="A12" s="617"/>
      <c r="B12" s="617"/>
      <c r="C12" s="617"/>
      <c r="D12" s="617"/>
      <c r="E12" s="617"/>
      <c r="F12" s="617"/>
      <c r="G12" s="617"/>
      <c r="H12" s="617"/>
    </row>
    <row r="13" spans="1:9">
      <c r="A13" s="617"/>
      <c r="B13" s="617"/>
      <c r="C13" s="617"/>
      <c r="D13" s="617"/>
      <c r="E13" s="617"/>
      <c r="F13" s="617"/>
      <c r="G13" s="617"/>
      <c r="H13" s="617"/>
    </row>
    <row r="14" spans="1:9">
      <c r="A14" s="617"/>
      <c r="B14" s="617"/>
      <c r="C14" s="617"/>
      <c r="D14" s="617"/>
      <c r="E14" s="617"/>
      <c r="F14" s="617"/>
      <c r="G14" s="617"/>
      <c r="H14" s="617"/>
    </row>
    <row r="15" spans="1:9">
      <c r="A15" s="617"/>
      <c r="B15" s="617"/>
      <c r="C15" s="617"/>
      <c r="D15" s="617"/>
      <c r="E15" s="617"/>
      <c r="F15" s="617"/>
      <c r="G15" s="617"/>
      <c r="H15" s="617"/>
    </row>
    <row r="16" spans="1:9">
      <c r="A16" s="617"/>
      <c r="B16" s="617"/>
      <c r="C16" s="617"/>
      <c r="D16" s="617"/>
      <c r="E16" s="617"/>
      <c r="F16" s="617"/>
      <c r="G16" s="617"/>
      <c r="H16" s="617"/>
    </row>
    <row r="17" spans="1:8">
      <c r="A17" s="617"/>
      <c r="B17" s="617"/>
      <c r="C17" s="617"/>
      <c r="D17" s="617"/>
      <c r="E17" s="617"/>
      <c r="F17" s="617"/>
      <c r="G17" s="617"/>
      <c r="H17" s="617"/>
    </row>
    <row r="18" spans="1:8">
      <c r="A18" s="617"/>
      <c r="B18" s="617"/>
      <c r="C18" s="617"/>
      <c r="D18" s="617"/>
      <c r="E18" s="617"/>
      <c r="F18" s="617"/>
      <c r="G18" s="617"/>
      <c r="H18" s="617"/>
    </row>
    <row r="19" spans="1:8">
      <c r="A19" s="617"/>
      <c r="B19" s="617"/>
      <c r="C19" s="617"/>
      <c r="D19" s="617"/>
      <c r="E19" s="617"/>
      <c r="F19" s="617"/>
      <c r="G19" s="617"/>
      <c r="H19" s="617"/>
    </row>
    <row r="20" spans="1:8">
      <c r="A20" s="617"/>
      <c r="B20" s="617"/>
      <c r="C20" s="617"/>
      <c r="D20" s="617"/>
      <c r="E20" s="617"/>
      <c r="F20" s="617"/>
      <c r="G20" s="617"/>
      <c r="H20" s="617"/>
    </row>
    <row r="21" spans="1:8">
      <c r="A21" s="617"/>
      <c r="B21" s="617"/>
      <c r="C21" s="617"/>
      <c r="D21" s="617"/>
      <c r="E21" s="617"/>
      <c r="F21" s="617"/>
      <c r="G21" s="617"/>
      <c r="H21" s="617"/>
    </row>
    <row r="22" spans="1:8">
      <c r="A22" s="617"/>
      <c r="B22" s="617"/>
      <c r="C22" s="617"/>
      <c r="D22" s="617"/>
      <c r="E22" s="617"/>
      <c r="F22" s="617"/>
      <c r="G22" s="617"/>
      <c r="H22" s="617"/>
    </row>
    <row r="23" spans="1:8">
      <c r="A23" s="617"/>
      <c r="B23" s="617"/>
      <c r="C23" s="617"/>
      <c r="D23" s="617"/>
      <c r="E23" s="617"/>
      <c r="F23" s="617"/>
      <c r="G23" s="617"/>
      <c r="H23" s="617"/>
    </row>
    <row r="24" spans="1:8">
      <c r="A24" s="617"/>
      <c r="B24" s="617"/>
      <c r="C24" s="617"/>
      <c r="D24" s="617"/>
      <c r="E24" s="617"/>
      <c r="F24" s="617"/>
      <c r="G24" s="617"/>
      <c r="H24" s="617"/>
    </row>
    <row r="25" spans="1:8">
      <c r="A25" s="617"/>
      <c r="B25" s="617"/>
      <c r="C25" s="617"/>
      <c r="D25" s="617"/>
      <c r="E25" s="617"/>
      <c r="F25" s="617"/>
      <c r="G25" s="617"/>
      <c r="H25" s="617"/>
    </row>
    <row r="26" spans="1:8">
      <c r="A26" s="617"/>
      <c r="B26" s="617"/>
      <c r="C26" s="617"/>
      <c r="D26" s="617"/>
      <c r="E26" s="617"/>
      <c r="F26" s="617"/>
      <c r="G26" s="617"/>
      <c r="H26" s="617"/>
    </row>
    <row r="27" spans="1:8">
      <c r="A27" s="617"/>
      <c r="B27" s="617"/>
      <c r="C27" s="617"/>
      <c r="D27" s="617"/>
      <c r="E27" s="617"/>
      <c r="F27" s="617"/>
      <c r="G27" s="617"/>
      <c r="H27" s="617"/>
    </row>
    <row r="28" spans="1:8">
      <c r="A28" s="617"/>
      <c r="B28" s="617"/>
      <c r="C28" s="617"/>
      <c r="D28" s="617"/>
      <c r="E28" s="617"/>
      <c r="F28" s="617"/>
      <c r="G28" s="617"/>
      <c r="H28" s="617"/>
    </row>
    <row r="29" spans="1:8">
      <c r="A29" s="617"/>
      <c r="B29" s="617"/>
      <c r="C29" s="617"/>
      <c r="D29" s="617"/>
      <c r="E29" s="617"/>
      <c r="F29" s="617"/>
      <c r="G29" s="617"/>
      <c r="H29" s="617"/>
    </row>
    <row r="31" spans="1:8">
      <c r="A31" s="518"/>
      <c r="B31" s="518"/>
      <c r="C31" s="518"/>
      <c r="D31" s="518"/>
      <c r="E31" s="518"/>
      <c r="F31" s="518"/>
      <c r="G31" s="518"/>
      <c r="H31" s="518"/>
    </row>
    <row r="32" spans="1:8" ht="13.8" thickBot="1">
      <c r="A32" s="800"/>
      <c r="B32" s="800"/>
      <c r="C32" s="800"/>
      <c r="D32" s="800"/>
      <c r="E32" s="800"/>
      <c r="F32" s="800"/>
      <c r="G32" s="800"/>
      <c r="H32" s="800"/>
    </row>
    <row r="33" spans="1:7" s="617" customFormat="1">
      <c r="A33" s="841" t="s">
        <v>736</v>
      </c>
      <c r="B33" s="786">
        <v>2009</v>
      </c>
      <c r="C33" s="786">
        <v>2010</v>
      </c>
      <c r="D33" s="786">
        <v>2011</v>
      </c>
      <c r="E33" s="786">
        <v>2012</v>
      </c>
      <c r="F33" s="786">
        <v>2013</v>
      </c>
      <c r="G33" s="786">
        <v>2014</v>
      </c>
    </row>
    <row r="34" spans="1:7" s="617" customFormat="1">
      <c r="A34" s="617" t="s">
        <v>695</v>
      </c>
      <c r="B34" s="345">
        <f>'Cost Trends'!O127</f>
        <v>26617.424405821377</v>
      </c>
      <c r="C34" s="345">
        <f>'Cost Trends'!P127</f>
        <v>29412.477627473563</v>
      </c>
      <c r="D34" s="345">
        <f>'Cost Trends'!Q127</f>
        <v>32613.966947797297</v>
      </c>
      <c r="E34" s="345">
        <f>'Cost Trends'!R127</f>
        <v>33700.549684624653</v>
      </c>
      <c r="F34" s="345">
        <f>'Cost Trends'!S127</f>
        <v>36201</v>
      </c>
      <c r="G34" s="345">
        <f>'Cost Trends'!T127</f>
        <v>38403</v>
      </c>
    </row>
    <row r="37" spans="1:7">
      <c r="A37" s="617" t="s">
        <v>706</v>
      </c>
      <c r="B37" s="2">
        <v>2296.6</v>
      </c>
      <c r="C37" s="617"/>
    </row>
    <row r="38" spans="1:7" ht="13.8" thickBot="1">
      <c r="A38" s="617" t="s">
        <v>700</v>
      </c>
      <c r="B38" s="788">
        <f>B37/G34</f>
        <v>5.9802619587011427E-2</v>
      </c>
      <c r="C38" s="617"/>
    </row>
    <row r="39" spans="1:7" ht="13.8" thickBot="1">
      <c r="A39" s="617" t="s">
        <v>707</v>
      </c>
      <c r="B39" s="797">
        <f>B38*2</f>
        <v>0.11960523917402285</v>
      </c>
      <c r="C39" s="617" t="s">
        <v>701</v>
      </c>
      <c r="E39" s="798">
        <f>((1+B38)^2)-1</f>
        <v>0.12318159248349159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2016-01-26T23:07:04+00:00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086F6A9-CBE1-413D-8458-F07B60C40A2A}"/>
</file>

<file path=customXml/itemProps2.xml><?xml version="1.0" encoding="utf-8"?>
<ds:datastoreItem xmlns:ds="http://schemas.openxmlformats.org/officeDocument/2006/customXml" ds:itemID="{AF89DF39-6998-4B98-816C-D36A535A8A94}"/>
</file>

<file path=customXml/itemProps3.xml><?xml version="1.0" encoding="utf-8"?>
<ds:datastoreItem xmlns:ds="http://schemas.openxmlformats.org/officeDocument/2006/customXml" ds:itemID="{BA984CF9-CFCA-4FCA-959E-C9206EECFDE3}"/>
</file>

<file path=customXml/itemProps4.xml><?xml version="1.0" encoding="utf-8"?>
<ds:datastoreItem xmlns:ds="http://schemas.openxmlformats.org/officeDocument/2006/customXml" ds:itemID="{80BF4376-E25E-48FE-A631-1E258F5B0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18</vt:i4>
      </vt:variant>
    </vt:vector>
  </HeadingPairs>
  <TitlesOfParts>
    <vt:vector size="47" baseType="lpstr">
      <vt:lpstr>HIDDEN WORKSHEETS</vt:lpstr>
      <vt:lpstr>Summary</vt:lpstr>
      <vt:lpstr>ROR</vt:lpstr>
      <vt:lpstr>Attrition 09.2014 to 2016</vt:lpstr>
      <vt:lpstr>Cost Trends</vt:lpstr>
      <vt:lpstr>Net Plant</vt:lpstr>
      <vt:lpstr>remove dist</vt:lpstr>
      <vt:lpstr>Dep-Amort</vt:lpstr>
      <vt:lpstr>Adj Taxes</vt:lpstr>
      <vt:lpstr>Other Revenue</vt:lpstr>
      <vt:lpstr>Adj Operating Exp-2007-2014</vt:lpstr>
      <vt:lpstr>Plant Trends</vt:lpstr>
      <vt:lpstr>Weighted Revenue Growth</vt:lpstr>
      <vt:lpstr>09.2014 Rev Model</vt:lpstr>
      <vt:lpstr>2016 Customers and Demand</vt:lpstr>
      <vt:lpstr>2016 Forecast Energy</vt:lpstr>
      <vt:lpstr>12.2014 CB Power Supply</vt:lpstr>
      <vt:lpstr>456 Revenue</vt:lpstr>
      <vt:lpstr>CS2-Colstrip 2016 Incrmntl Exp</vt:lpstr>
      <vt:lpstr>PF Power Supply 09.2014 load</vt:lpstr>
      <vt:lpstr>PF Power Supply 2016 load</vt:lpstr>
      <vt:lpstr>incremental load expense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'Adj Operating Exp-2007-2014'!Print_Area</vt:lpstr>
      <vt:lpstr>'Attrition 09.2014 to 2016'!Print_Area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cp:lastModifiedBy>McGuire, Chris (UTC)</cp:lastModifiedBy>
  <cp:lastPrinted>2015-09-03T18:53:22Z</cp:lastPrinted>
  <dcterms:created xsi:type="dcterms:W3CDTF">2012-01-25T16:30:38Z</dcterms:created>
  <dcterms:modified xsi:type="dcterms:W3CDTF">2016-01-26T19:44:10Z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